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mc:AlternateContent xmlns:mc="http://schemas.openxmlformats.org/markup-compatibility/2006">
    <mc:Choice Requires="x15">
      <x15ac:absPath xmlns:x15ac="http://schemas.microsoft.com/office/spreadsheetml/2010/11/ac" url="R:\Relação com Investidores\LIFE11\Planilha de Fundamentos\"/>
    </mc:Choice>
  </mc:AlternateContent>
  <xr:revisionPtr revIDLastSave="0" documentId="13_ncr:1_{B406D74A-A5A6-40CE-A3C5-EDE17149A204}"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 r:id="rId10"/>
  </externalReferences>
  <definedNames>
    <definedName name="_xlnm._FilterDatabase" localSheetId="1" hidden="1">Operações!$A$6:$R$6</definedName>
    <definedName name="data_hoje">[1]DASHBOARD!$C$20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9" i="16" l="1"/>
  <c r="AA59" i="16"/>
  <c r="H59" i="16"/>
  <c r="D59" i="16"/>
  <c r="C59" i="16"/>
  <c r="AF55" i="16"/>
  <c r="AF54" i="16"/>
  <c r="AF53" i="16"/>
  <c r="AF52" i="16"/>
  <c r="AF50" i="16"/>
  <c r="I50" i="16"/>
  <c r="C50" i="16"/>
  <c r="C51" i="16" s="1"/>
  <c r="AF51" i="16" s="1"/>
  <c r="AF49" i="16"/>
  <c r="H48" i="16"/>
  <c r="F48" i="16"/>
  <c r="C48" i="16"/>
  <c r="I47" i="16"/>
  <c r="I48" i="16" s="1"/>
  <c r="H47" i="16"/>
  <c r="G47" i="16"/>
  <c r="G48" i="16" s="1"/>
  <c r="F47" i="16"/>
  <c r="E47" i="16"/>
  <c r="E48" i="16" s="1"/>
  <c r="C47" i="16"/>
  <c r="AF47" i="16" s="1"/>
  <c r="AF46" i="16"/>
  <c r="I45" i="16"/>
  <c r="G45" i="16"/>
  <c r="E45" i="16"/>
  <c r="I44" i="16"/>
  <c r="H44" i="16"/>
  <c r="H45" i="16" s="1"/>
  <c r="G44" i="16"/>
  <c r="F44" i="16"/>
  <c r="F45" i="16" s="1"/>
  <c r="E44" i="16"/>
  <c r="C44" i="16"/>
  <c r="C45" i="16" s="1"/>
  <c r="AF45" i="16" s="1"/>
  <c r="AF43" i="16"/>
  <c r="H42" i="16"/>
  <c r="F42" i="16"/>
  <c r="C42" i="16"/>
  <c r="I41" i="16"/>
  <c r="I42" i="16" s="1"/>
  <c r="H41" i="16"/>
  <c r="G41" i="16"/>
  <c r="G42" i="16" s="1"/>
  <c r="F41" i="16"/>
  <c r="E41" i="16"/>
  <c r="E42" i="16" s="1"/>
  <c r="C41" i="16"/>
  <c r="AF40" i="16"/>
  <c r="I39" i="16"/>
  <c r="G39" i="16"/>
  <c r="E39" i="16"/>
  <c r="I38" i="16"/>
  <c r="H38" i="16"/>
  <c r="H39" i="16" s="1"/>
  <c r="G38" i="16"/>
  <c r="F38" i="16"/>
  <c r="F39" i="16" s="1"/>
  <c r="E38" i="16"/>
  <c r="C38" i="16"/>
  <c r="C39" i="16" s="1"/>
  <c r="AF37" i="16"/>
  <c r="H36" i="16"/>
  <c r="F36" i="16"/>
  <c r="C36" i="16"/>
  <c r="I35" i="16"/>
  <c r="I36" i="16" s="1"/>
  <c r="H35" i="16"/>
  <c r="G35" i="16"/>
  <c r="G36" i="16" s="1"/>
  <c r="F35" i="16"/>
  <c r="E35" i="16"/>
  <c r="AF35" i="16" s="1"/>
  <c r="C35" i="16"/>
  <c r="AF34" i="16"/>
  <c r="I33" i="16"/>
  <c r="G33" i="16"/>
  <c r="E33" i="16"/>
  <c r="I32" i="16"/>
  <c r="H32" i="16"/>
  <c r="H33" i="16" s="1"/>
  <c r="G32" i="16"/>
  <c r="F32" i="16"/>
  <c r="F33" i="16" s="1"/>
  <c r="E32" i="16"/>
  <c r="C32" i="16"/>
  <c r="C33" i="16" s="1"/>
  <c r="AF33" i="16" s="1"/>
  <c r="AF31" i="16"/>
  <c r="AF29" i="16"/>
  <c r="I29" i="16"/>
  <c r="I30" i="16" s="1"/>
  <c r="H29" i="16"/>
  <c r="H30" i="16" s="1"/>
  <c r="G29" i="16"/>
  <c r="G30" i="16" s="1"/>
  <c r="F29" i="16"/>
  <c r="F30" i="16" s="1"/>
  <c r="E29" i="16"/>
  <c r="E30" i="16" s="1"/>
  <c r="D29" i="16"/>
  <c r="D30" i="16" s="1"/>
  <c r="C29" i="16"/>
  <c r="C30" i="16" s="1"/>
  <c r="AF28" i="16"/>
  <c r="I27" i="16"/>
  <c r="I56" i="16" s="1"/>
  <c r="H27" i="16"/>
  <c r="G27" i="16"/>
  <c r="F27" i="16"/>
  <c r="F56" i="16" s="1"/>
  <c r="E27" i="16"/>
  <c r="E56" i="16" s="1"/>
  <c r="D27" i="16"/>
  <c r="D56" i="16" s="1"/>
  <c r="C27" i="16"/>
  <c r="AF27" i="16" s="1"/>
  <c r="AF26" i="16"/>
  <c r="AD25" i="16"/>
  <c r="AC25" i="16"/>
  <c r="AB25" i="16"/>
  <c r="AA25" i="16"/>
  <c r="Z25" i="16"/>
  <c r="Y25" i="16"/>
  <c r="X25" i="16"/>
  <c r="W25" i="16"/>
  <c r="V25" i="16"/>
  <c r="U25" i="16"/>
  <c r="T25" i="16"/>
  <c r="S25" i="16"/>
  <c r="R25" i="16"/>
  <c r="Q25" i="16"/>
  <c r="P25" i="16"/>
  <c r="O25" i="16"/>
  <c r="N25" i="16"/>
  <c r="M25" i="16"/>
  <c r="L25" i="16"/>
  <c r="K25" i="16"/>
  <c r="J25" i="16"/>
  <c r="I25" i="16"/>
  <c r="H25" i="16"/>
  <c r="G25" i="16"/>
  <c r="AF25" i="16" s="1"/>
  <c r="F25" i="16"/>
  <c r="E25" i="16"/>
  <c r="D25" i="16"/>
  <c r="AF23" i="16"/>
  <c r="AF21" i="16"/>
  <c r="F21" i="16"/>
  <c r="Z20" i="16"/>
  <c r="X20" i="16"/>
  <c r="W20" i="16"/>
  <c r="S20" i="16"/>
  <c r="R20" i="16"/>
  <c r="P20" i="16"/>
  <c r="O20" i="16"/>
  <c r="M20" i="16"/>
  <c r="AF20" i="16" s="1"/>
  <c r="J20" i="16"/>
  <c r="AD19" i="16"/>
  <c r="AC19" i="16"/>
  <c r="AB19" i="16"/>
  <c r="AA19" i="16"/>
  <c r="AA16" i="16" s="1"/>
  <c r="Z19" i="16"/>
  <c r="Y19" i="16"/>
  <c r="Y16" i="16" s="1"/>
  <c r="X19" i="16"/>
  <c r="W19" i="16"/>
  <c r="V19" i="16"/>
  <c r="U19" i="16"/>
  <c r="T19" i="16"/>
  <c r="S19" i="16"/>
  <c r="S16" i="16" s="1"/>
  <c r="R19" i="16"/>
  <c r="Q19" i="16"/>
  <c r="Q16" i="16" s="1"/>
  <c r="P19" i="16"/>
  <c r="O19" i="16"/>
  <c r="L19" i="16"/>
  <c r="K19" i="16"/>
  <c r="K16" i="16" s="1"/>
  <c r="J19" i="16"/>
  <c r="G19" i="16"/>
  <c r="G16" i="16" s="1"/>
  <c r="G21" i="16" s="1"/>
  <c r="F19" i="16"/>
  <c r="E19" i="16"/>
  <c r="D19" i="16"/>
  <c r="AF19" i="16" s="1"/>
  <c r="AF18" i="16"/>
  <c r="AB17" i="16"/>
  <c r="AB16" i="16" s="1"/>
  <c r="AA17" i="16"/>
  <c r="Z17" i="16"/>
  <c r="Z16" i="16" s="1"/>
  <c r="Y17" i="16"/>
  <c r="X17" i="16"/>
  <c r="X16" i="16" s="1"/>
  <c r="W17" i="16"/>
  <c r="V17" i="16"/>
  <c r="U17" i="16"/>
  <c r="T17" i="16"/>
  <c r="T16" i="16" s="1"/>
  <c r="S17" i="16"/>
  <c r="R17" i="16"/>
  <c r="R16" i="16" s="1"/>
  <c r="Q17" i="16"/>
  <c r="P17" i="16"/>
  <c r="P16" i="16" s="1"/>
  <c r="O17" i="16"/>
  <c r="N17" i="16"/>
  <c r="M17" i="16"/>
  <c r="L17" i="16"/>
  <c r="L16" i="16" s="1"/>
  <c r="K17" i="16"/>
  <c r="J17" i="16"/>
  <c r="J16" i="16" s="1"/>
  <c r="I17" i="16"/>
  <c r="H17" i="16"/>
  <c r="H16" i="16" s="1"/>
  <c r="H21" i="16" s="1"/>
  <c r="G17" i="16"/>
  <c r="F17" i="16"/>
  <c r="E17" i="16"/>
  <c r="D17" i="16"/>
  <c r="D16" i="16" s="1"/>
  <c r="D21" i="16" s="1"/>
  <c r="AE16" i="16"/>
  <c r="AD16" i="16"/>
  <c r="AC16" i="16"/>
  <c r="W16" i="16"/>
  <c r="V16" i="16"/>
  <c r="U16" i="16"/>
  <c r="O16" i="16"/>
  <c r="N16" i="16"/>
  <c r="M16" i="16"/>
  <c r="I16" i="16"/>
  <c r="F16" i="16"/>
  <c r="E16" i="16"/>
  <c r="E21" i="16" s="1"/>
  <c r="C16" i="16"/>
  <c r="C21" i="16" s="1"/>
  <c r="I21" i="16" s="1"/>
  <c r="AE15" i="16"/>
  <c r="AD15" i="16"/>
  <c r="Z15" i="16"/>
  <c r="V15" i="16"/>
  <c r="U15" i="16"/>
  <c r="U6" i="16" s="1"/>
  <c r="U22" i="16" s="1"/>
  <c r="T15" i="16"/>
  <c r="O15" i="16"/>
  <c r="N15" i="16"/>
  <c r="M15" i="16"/>
  <c r="L15" i="16"/>
  <c r="K15" i="16"/>
  <c r="J15" i="16"/>
  <c r="I15" i="16"/>
  <c r="H15" i="16"/>
  <c r="G15" i="16"/>
  <c r="F15" i="16"/>
  <c r="D15" i="16"/>
  <c r="AF15" i="16" s="1"/>
  <c r="AC14" i="16"/>
  <c r="AC6" i="16" s="1"/>
  <c r="AC22" i="16" s="1"/>
  <c r="AA14" i="16"/>
  <c r="Z14" i="16"/>
  <c r="Y14" i="16"/>
  <c r="X14" i="16"/>
  <c r="W14" i="16"/>
  <c r="V14" i="16"/>
  <c r="U14" i="16"/>
  <c r="S14" i="16"/>
  <c r="R14" i="16"/>
  <c r="Q14" i="16"/>
  <c r="P14" i="16"/>
  <c r="O14" i="16"/>
  <c r="N14" i="16"/>
  <c r="M14" i="16"/>
  <c r="K14" i="16"/>
  <c r="AF14" i="16" s="1"/>
  <c r="R13" i="16"/>
  <c r="R8" i="16" s="1"/>
  <c r="R7" i="16" s="1"/>
  <c r="Q13" i="16"/>
  <c r="O13" i="16"/>
  <c r="N13" i="16"/>
  <c r="K13" i="16"/>
  <c r="K12" i="16" s="1"/>
  <c r="I13" i="16"/>
  <c r="AF13" i="16" s="1"/>
  <c r="AE12" i="16"/>
  <c r="AD12" i="16"/>
  <c r="AC12" i="16"/>
  <c r="AB12" i="16"/>
  <c r="AA12" i="16"/>
  <c r="Z12" i="16"/>
  <c r="Y12" i="16"/>
  <c r="X12" i="16"/>
  <c r="W12" i="16"/>
  <c r="V12" i="16"/>
  <c r="U12" i="16"/>
  <c r="T12" i="16"/>
  <c r="S12" i="16"/>
  <c r="Q12" i="16"/>
  <c r="P12" i="16"/>
  <c r="O12" i="16"/>
  <c r="N12" i="16"/>
  <c r="M12" i="16"/>
  <c r="L12" i="16"/>
  <c r="L14" i="16" s="1"/>
  <c r="J12" i="16"/>
  <c r="I12" i="16"/>
  <c r="H12" i="16"/>
  <c r="G12" i="16"/>
  <c r="F12" i="16"/>
  <c r="E12" i="16"/>
  <c r="D12" i="16"/>
  <c r="C12" i="16"/>
  <c r="AF11" i="16"/>
  <c r="E11" i="16"/>
  <c r="O10" i="16"/>
  <c r="N10" i="16"/>
  <c r="N9" i="16" s="1"/>
  <c r="M10" i="16"/>
  <c r="L10" i="16"/>
  <c r="K10" i="16"/>
  <c r="J10" i="16"/>
  <c r="J9" i="16" s="1"/>
  <c r="I10" i="16"/>
  <c r="H10" i="16"/>
  <c r="H9" i="16" s="1"/>
  <c r="AE9" i="16"/>
  <c r="AE6" i="16" s="1"/>
  <c r="AE22" i="16" s="1"/>
  <c r="AD9" i="16"/>
  <c r="AC9" i="16"/>
  <c r="AB9" i="16"/>
  <c r="AA9" i="16"/>
  <c r="AA6" i="16" s="1"/>
  <c r="AA22" i="16" s="1"/>
  <c r="Z9" i="16"/>
  <c r="Y9" i="16"/>
  <c r="Y6" i="16" s="1"/>
  <c r="X9" i="16"/>
  <c r="W9" i="16"/>
  <c r="W6" i="16" s="1"/>
  <c r="W22" i="16" s="1"/>
  <c r="V9" i="16"/>
  <c r="U9" i="16"/>
  <c r="T9" i="16"/>
  <c r="S9" i="16"/>
  <c r="R9" i="16"/>
  <c r="Q9" i="16"/>
  <c r="P9" i="16"/>
  <c r="O9" i="16"/>
  <c r="O6" i="16" s="1"/>
  <c r="O22" i="16" s="1"/>
  <c r="M9" i="16"/>
  <c r="L9" i="16"/>
  <c r="K9" i="16"/>
  <c r="K6" i="16" s="1"/>
  <c r="K22" i="16" s="1"/>
  <c r="I9" i="16"/>
  <c r="I6" i="16" s="1"/>
  <c r="I22" i="16" s="1"/>
  <c r="G9" i="16"/>
  <c r="G6" i="16" s="1"/>
  <c r="G22" i="16" s="1"/>
  <c r="F9" i="16"/>
  <c r="E9" i="16"/>
  <c r="D9" i="16"/>
  <c r="C9" i="16"/>
  <c r="S8" i="16"/>
  <c r="S7" i="16" s="1"/>
  <c r="S6" i="16" s="1"/>
  <c r="S22" i="16" s="1"/>
  <c r="Q8" i="16"/>
  <c r="Q7" i="16" s="1"/>
  <c r="Q6" i="16" s="1"/>
  <c r="Q22" i="16" s="1"/>
  <c r="P8" i="16"/>
  <c r="O8" i="16"/>
  <c r="N8" i="16"/>
  <c r="M8" i="16"/>
  <c r="M7" i="16" s="1"/>
  <c r="M6" i="16" s="1"/>
  <c r="M22" i="16" s="1"/>
  <c r="K8" i="16"/>
  <c r="J8" i="16"/>
  <c r="J7" i="16" s="1"/>
  <c r="J6" i="16" s="1"/>
  <c r="J22" i="16" s="1"/>
  <c r="I8" i="16"/>
  <c r="H8" i="16"/>
  <c r="H7" i="16" s="1"/>
  <c r="H6" i="16" s="1"/>
  <c r="H22" i="16" s="1"/>
  <c r="G8" i="16"/>
  <c r="F8" i="16"/>
  <c r="E8" i="16"/>
  <c r="AF8" i="16" s="1"/>
  <c r="AE7" i="16"/>
  <c r="AD7" i="16"/>
  <c r="AD6" i="16" s="1"/>
  <c r="AD22" i="16" s="1"/>
  <c r="AC7" i="16"/>
  <c r="AB7" i="16"/>
  <c r="AB6" i="16" s="1"/>
  <c r="AB22" i="16" s="1"/>
  <c r="AA7" i="16"/>
  <c r="Z7" i="16"/>
  <c r="Y7" i="16"/>
  <c r="X7" i="16"/>
  <c r="X6" i="16" s="1"/>
  <c r="W7" i="16"/>
  <c r="V7" i="16"/>
  <c r="V6" i="16" s="1"/>
  <c r="V22" i="16" s="1"/>
  <c r="U7" i="16"/>
  <c r="T7" i="16"/>
  <c r="T6" i="16" s="1"/>
  <c r="T22" i="16" s="1"/>
  <c r="P7" i="16"/>
  <c r="P6" i="16" s="1"/>
  <c r="P22" i="16" s="1"/>
  <c r="O7" i="16"/>
  <c r="N7" i="16"/>
  <c r="N6" i="16" s="1"/>
  <c r="N22" i="16" s="1"/>
  <c r="L7" i="16"/>
  <c r="L6" i="16" s="1"/>
  <c r="L22" i="16" s="1"/>
  <c r="K7" i="16"/>
  <c r="I7" i="16"/>
  <c r="G7" i="16"/>
  <c r="F7" i="16"/>
  <c r="F6" i="16" s="1"/>
  <c r="F22" i="16" s="1"/>
  <c r="E7" i="16"/>
  <c r="D7" i="16"/>
  <c r="AF7" i="16" s="1"/>
  <c r="C7" i="16"/>
  <c r="Z6" i="16"/>
  <c r="Z22" i="16" s="1"/>
  <c r="E6" i="16"/>
  <c r="E22" i="16" s="1"/>
  <c r="B7" i="12"/>
  <c r="D7" i="11"/>
  <c r="J7" i="11"/>
  <c r="K7" i="11"/>
  <c r="L7" i="11"/>
  <c r="E7" i="11"/>
  <c r="AF9" i="16" l="1"/>
  <c r="G56" i="16"/>
  <c r="AF56" i="16" s="1"/>
  <c r="AF48" i="16"/>
  <c r="AF12" i="16"/>
  <c r="H56" i="16"/>
  <c r="AF39" i="16"/>
  <c r="AF42" i="16"/>
  <c r="Y22" i="16"/>
  <c r="X22" i="16"/>
  <c r="R6" i="16"/>
  <c r="R22" i="16" s="1"/>
  <c r="AF30" i="16"/>
  <c r="AF32" i="16"/>
  <c r="AF16" i="16"/>
  <c r="E36" i="16"/>
  <c r="AF36" i="16" s="1"/>
  <c r="R12" i="16"/>
  <c r="AF17" i="16"/>
  <c r="D6" i="16"/>
  <c r="D22" i="16" s="1"/>
  <c r="AF10" i="16"/>
  <c r="AF44" i="16"/>
  <c r="AF41" i="16"/>
  <c r="AF38" i="16"/>
  <c r="C6" i="16"/>
  <c r="W3" i="11"/>
  <c r="M7" i="11" s="1"/>
  <c r="C22" i="16" l="1"/>
  <c r="AF6" i="16"/>
  <c r="G7" i="11"/>
  <c r="F7" i="11"/>
  <c r="I7" i="11"/>
  <c r="H7" i="11"/>
  <c r="A8" i="11"/>
  <c r="A7" i="11" s="1"/>
  <c r="C24" i="16" l="1"/>
  <c r="D24" i="16" s="1"/>
  <c r="E24" i="16" s="1"/>
  <c r="F24" i="16" s="1"/>
  <c r="G24" i="16" s="1"/>
  <c r="H24" i="16" s="1"/>
  <c r="I24" i="16" s="1"/>
  <c r="J24" i="16" s="1"/>
  <c r="K24" i="16" s="1"/>
  <c r="L24" i="16" s="1"/>
  <c r="M24" i="16" s="1"/>
  <c r="N24" i="16" s="1"/>
  <c r="O24" i="16" s="1"/>
  <c r="P24" i="16" s="1"/>
  <c r="Q24" i="16" s="1"/>
  <c r="R24" i="16" s="1"/>
  <c r="S24" i="16" s="1"/>
  <c r="T24" i="16" s="1"/>
  <c r="U24" i="16" s="1"/>
  <c r="V24" i="16" s="1"/>
  <c r="W24" i="16" s="1"/>
  <c r="X24" i="16" s="1"/>
  <c r="Y24" i="16" s="1"/>
  <c r="Z24" i="16" s="1"/>
  <c r="AA24" i="16" s="1"/>
  <c r="AB24" i="16" s="1"/>
  <c r="AC24" i="16" s="1"/>
  <c r="AD24" i="16" s="1"/>
  <c r="AE24" i="16" s="1"/>
  <c r="AF22" i="16"/>
  <c r="B10" i="12"/>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Milena Lais Garcia de Lima</author>
  </authors>
  <commentList>
    <comment ref="H25" authorId="0" shapeId="0" xr:uid="{9421E82B-0E85-484E-A5DF-CE00E4FA653D}">
      <text>
        <r>
          <rPr>
            <b/>
            <sz val="9"/>
            <color indexed="81"/>
            <rFont val="Segoe UI"/>
            <family val="2"/>
          </rPr>
          <t>Milena Lais Garcia de Lima:</t>
        </r>
        <r>
          <rPr>
            <sz val="9"/>
            <color indexed="81"/>
            <rFont val="Segoe UI"/>
            <family val="2"/>
          </rPr>
          <t xml:space="preserve">
planilha de calculo colado valor de 854995,29</t>
        </r>
      </text>
    </comment>
  </commentList>
</comments>
</file>

<file path=xl/sharedStrings.xml><?xml version="1.0" encoding="utf-8"?>
<sst xmlns="http://schemas.openxmlformats.org/spreadsheetml/2006/main" count="268" uniqueCount="204">
  <si>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</si>
  <si>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</si>
  <si>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</si>
  <si>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</si>
  <si>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</si>
  <si>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</si>
  <si>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</si>
  <si>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</si>
  <si>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</si>
  <si>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</si>
  <si>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</si>
  <si>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</si>
  <si>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</si>
  <si>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</si>
  <si>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</si>
  <si>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</si>
  <si>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</si>
  <si>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</si>
  <si>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</si>
  <si>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</si>
  <si>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</si>
  <si>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</si>
  <si>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</si>
  <si>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</si>
  <si>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</si>
  <si>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</si>
  <si>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</si>
  <si>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</si>
  <si>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</si>
  <si>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</si>
  <si>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</si>
  <si>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</si>
  <si>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</si>
  <si>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</si>
  <si>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</si>
  <si>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</si>
  <si>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</si>
  <si>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</si>
  <si>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</si>
  <si>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</si>
  <si>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</si>
  <si>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</si>
  <si>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</si>
  <si>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</si>
  <si>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</si>
  <si>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</si>
  <si>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</si>
  <si>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</si>
  <si>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</si>
  <si>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</si>
  <si>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</si>
  <si>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</si>
  <si>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</si>
  <si>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</si>
  <si>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</si>
  <si>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</si>
  <si>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</si>
  <si>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</si>
  <si>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</si>
  <si>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</si>
  <si>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</si>
  <si>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</si>
  <si>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</si>
  <si>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</si>
  <si>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</si>
  <si>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</si>
  <si>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</si>
  <si>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</si>
  <si>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</si>
  <si>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</si>
  <si>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</si>
  <si>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</si>
  <si>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</si>
  <si>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</si>
  <si>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</si>
  <si>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</si>
  <si>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</si>
  <si>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</si>
  <si>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</si>
  <si>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</si>
  <si>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</si>
  <si>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</si>
  <si>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</si>
  <si>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</si>
  <si>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</si>
  <si>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</si>
  <si>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</si>
  <si>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</si>
  <si>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</si>
  <si>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</si>
  <si>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</si>
  <si>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</si>
  <si>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</si>
  <si>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</si>
  <si>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</si>
  <si>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</si>
  <si>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</si>
  <si>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</si>
  <si>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</si>
  <si>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</si>
  <si>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</si>
  <si>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</si>
  <si>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</si>
  <si>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</si>
  <si>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</si>
  <si>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</si>
  <si>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</si>
  <si>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</si>
  <si>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</si>
  <si>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</si>
  <si>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</si>
  <si>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</si>
  <si>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</si>
  <si>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</si>
  <si>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</si>
  <si>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</si>
  <si>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</si>
  <si>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</si>
  <si>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</si>
  <si>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</si>
  <si>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</si>
  <si>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</si>
  <si>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t>
  </si>
  <si>
    <t>Outros</t>
  </si>
  <si>
    <t>Caixa</t>
  </si>
  <si>
    <t>Total de Despesas</t>
  </si>
  <si>
    <t>Taxa de Administração, Escrituração e Custódia</t>
  </si>
  <si>
    <t>Taxa de Performance</t>
  </si>
  <si>
    <t>Outras Despesas</t>
  </si>
  <si>
    <t>Custo de Emissão</t>
  </si>
  <si>
    <t>Distribuições LIFE11</t>
  </si>
  <si>
    <t>Distribuição LIFE11</t>
  </si>
  <si>
    <t>Distribuição/cota LIFE11</t>
  </si>
  <si>
    <t>Distribuição LIFE13</t>
  </si>
  <si>
    <t>Distribuição/recibo LIFE13</t>
  </si>
  <si>
    <t>Distribuição mensalisada/recibo LIFE13</t>
  </si>
  <si>
    <t>Distribuição LIFE14</t>
  </si>
  <si>
    <t>Distribuição/recibo LIFE14</t>
  </si>
  <si>
    <t>Distribuição mensalisada/recibo LIFE14</t>
  </si>
  <si>
    <t>Distribuição LIFE15</t>
  </si>
  <si>
    <t>Distribuição/recibo LIFE15</t>
  </si>
  <si>
    <t>Distribuição mensalisada/recibo LIFE15</t>
  </si>
  <si>
    <t>Distribuição LIFE16</t>
  </si>
  <si>
    <t>Distribuição/recibo LIFE16</t>
  </si>
  <si>
    <t>Distribuição mensalisada/recibo LIFE16</t>
  </si>
  <si>
    <t>Distribuição LIFE17</t>
  </si>
  <si>
    <t>Distribuição/recibo LIFE17</t>
  </si>
  <si>
    <t>Distribuição mensalisada/recibo LIFE17</t>
  </si>
  <si>
    <t>Distribuição LIFE18</t>
  </si>
  <si>
    <t>Distribuição/recibo LIFE18</t>
  </si>
  <si>
    <t>Distribuição mensalisada/recibo LIFE18</t>
  </si>
  <si>
    <t>Distribuição LIFE19</t>
  </si>
  <si>
    <t>Distribuição/recibo LIFE19</t>
  </si>
  <si>
    <t>Distribuição mensalisada/recibo LIFE19</t>
  </si>
  <si>
    <t>Distribuição LIFE20</t>
  </si>
  <si>
    <t>Distribuição/recibo LIFE20</t>
  </si>
  <si>
    <t>Distribuição mensalisada/recibo LIFE20</t>
  </si>
  <si>
    <t>Distribuição Livro</t>
  </si>
  <si>
    <t>Distribuição/recibo Livro</t>
  </si>
  <si>
    <t>Distribuição SPE</t>
  </si>
  <si>
    <t>Distribuição/recibo SPE</t>
  </si>
  <si>
    <t>Distribuição mensalizada média LIFE11</t>
  </si>
  <si>
    <t>Cota (ex-rendimentos) LIFE11</t>
  </si>
  <si>
    <t>Patrimônio Líquido</t>
  </si>
  <si>
    <r>
      <t xml:space="preserve">CDI LÍQUIDO: </t>
    </r>
    <r>
      <rPr>
        <sz val="14"/>
        <color rgb="FF21335B"/>
        <rFont val="Barlow"/>
      </rPr>
      <t xml:space="preserve">168,1% do CDI líquido, equivalente a 142,9% do CDI bruto. </t>
    </r>
  </si>
  <si>
    <t>Reserva de Lucros</t>
  </si>
  <si>
    <t>Apreciação de Ativo</t>
  </si>
  <si>
    <t>Resultado Contábil</t>
  </si>
  <si>
    <t>Resultado Caixa</t>
  </si>
  <si>
    <t>DRE</t>
  </si>
  <si>
    <r>
      <rPr>
        <b/>
        <sz val="14"/>
        <color rgb="FF21335B"/>
        <rFont val="Barlow"/>
      </rPr>
      <t>QTDE DE COTAS EMITIDAS:</t>
    </r>
    <r>
      <rPr>
        <sz val="14"/>
        <color rgb="FF21335B"/>
        <rFont val="Barlow"/>
      </rPr>
      <t xml:space="preserve"> 23.268.354</t>
    </r>
  </si>
  <si>
    <r>
      <rPr>
        <b/>
        <sz val="14"/>
        <color rgb="FF21335B"/>
        <rFont val="Barlow"/>
      </rPr>
      <t>PATRIMÔNIO LÍQUIDO:</t>
    </r>
    <r>
      <rPr>
        <sz val="14"/>
        <color rgb="FF21335B"/>
        <rFont val="Barlow"/>
      </rPr>
      <t xml:space="preserve"> R$ 234.639.322,27</t>
    </r>
  </si>
  <si>
    <r>
      <rPr>
        <b/>
        <sz val="14"/>
        <color rgb="FF21335B"/>
        <rFont val="Barlow"/>
      </rPr>
      <t>PATRIMÔNIO LÍQUIDO MÉDIO* (últimos 12 meses):</t>
    </r>
    <r>
      <rPr>
        <sz val="14"/>
        <color rgb="FF21335B"/>
        <rFont val="Barlow"/>
      </rPr>
      <t xml:space="preserve"> R$ 231.862.754,50</t>
    </r>
  </si>
  <si>
    <r>
      <rPr>
        <b/>
        <sz val="14"/>
        <color rgb="FF21335B"/>
        <rFont val="Barlow"/>
      </rPr>
      <t>QTDE DE INVESTIDORES:</t>
    </r>
    <r>
      <rPr>
        <sz val="14"/>
        <color rgb="FF21335B"/>
        <rFont val="Barlow"/>
      </rPr>
      <t xml:space="preserve"> 10783</t>
    </r>
  </si>
  <si>
    <r>
      <t>COTA PATRIMONIAL:</t>
    </r>
    <r>
      <rPr>
        <sz val="14"/>
        <color rgb="FF21335B"/>
        <rFont val="Barlow"/>
      </rPr>
      <t xml:space="preserve"> R$ 10,08</t>
    </r>
  </si>
  <si>
    <r>
      <t xml:space="preserve">COTA MERCADO: </t>
    </r>
    <r>
      <rPr>
        <sz val="14"/>
        <color rgb="FF21335B"/>
        <rFont val="Barlow"/>
      </rPr>
      <t>R$ 10,54</t>
    </r>
  </si>
  <si>
    <r>
      <t>RENDIMENTO:</t>
    </r>
    <r>
      <rPr>
        <sz val="14"/>
        <color rgb="FF21335B"/>
        <rFont val="Barlow"/>
      </rPr>
      <t xml:space="preserve"> R$ 0,135/cota</t>
    </r>
  </si>
  <si>
    <r>
      <t>DIVIDEND YIELD (mês):</t>
    </r>
    <r>
      <rPr>
        <sz val="14"/>
        <color rgb="FF21335B"/>
        <rFont val="Barlow"/>
      </rPr>
      <t xml:space="preserve"> 1,34% a.m. (ou 17,32% a.a)</t>
    </r>
  </si>
  <si>
    <r>
      <t>DIVIDEND YIELD (12M):</t>
    </r>
    <r>
      <rPr>
        <sz val="14"/>
        <color rgb="FF21335B"/>
        <rFont val="Barlow"/>
      </rPr>
      <t xml:space="preserve"> 16,21% a.a.</t>
    </r>
  </si>
  <si>
    <r>
      <t>RETORNO DESDE O INÍCIO:</t>
    </r>
    <r>
      <rPr>
        <sz val="14"/>
        <color rgb="FF21335B"/>
        <rFont val="Barlow"/>
      </rPr>
      <t xml:space="preserve"> 45,32% (179,42% do CDI líquido)</t>
    </r>
  </si>
  <si>
    <r>
      <t>LIQUIDEZ DIÁRIA:</t>
    </r>
    <r>
      <rPr>
        <sz val="14"/>
        <color rgb="FF21335B"/>
        <rFont val="Barlow"/>
      </rPr>
      <t xml:space="preserve"> R$ 309 mil/dia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</si>
  <si>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</si>
  <si>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</si>
  <si>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</si>
  <si>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</si>
  <si>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</si>
  <si>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DRE Gerencial</t>
  </si>
  <si>
    <t>Abr-22</t>
  </si>
  <si>
    <t>Mai-22</t>
  </si>
  <si>
    <t>Ago-23</t>
  </si>
  <si>
    <t>Set-23</t>
  </si>
  <si>
    <t>Out-23</t>
  </si>
  <si>
    <t>Nov-23</t>
  </si>
  <si>
    <t>Dez-23</t>
  </si>
  <si>
    <t>Jan-24</t>
  </si>
  <si>
    <t>Fev-24</t>
  </si>
  <si>
    <t>Mar24</t>
  </si>
  <si>
    <t>Abr24</t>
  </si>
  <si>
    <t>Mai24</t>
  </si>
  <si>
    <t>Desde o Início</t>
  </si>
  <si>
    <t>Total de Receitas</t>
  </si>
  <si>
    <t>Operações de True Sales</t>
  </si>
  <si>
    <t xml:space="preserve">Performance Julho-24: </t>
  </si>
  <si>
    <t>Atualização - Julho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</si>
</sst>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6"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b/>
      <sz val="9"/>
      <color indexed="81"/>
      <name val="Segoe UI"/>
      <family val="2"/>
    </font>
    <font>
      <sz val="9"/>
      <color indexed="81"/>
      <name val="Segoe UI"/>
      <family val="2"/>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28">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23">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10" fontId="1" fillId="0" borderId="0" xfId="0" applyNumberFormat="1" applyFont="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164" fontId="29" fillId="2" borderId="0" xfId="0" applyNumberFormat="1" applyFont="1" applyFill="1" applyAlignment="1">
      <alignment horizont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2" fontId="48" fillId="0" borderId="0" xfId="0" applyNumberFormat="1" applyFont="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12" borderId="0" xfId="0" applyNumberFormat="1" applyFont="1" applyFill="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0" fontId="47" fillId="0" borderId="0" xfId="0" applyFont="1" applyAlignment="1">
      <alignment horizontal="left"/>
    </xf>
    <xf numFmtId="0" fontId="51" fillId="0" borderId="0" xfId="0" applyFont="1"/>
    <xf numFmtId="172" fontId="1" fillId="0" borderId="0" xfId="0" applyNumberFormat="1" applyFont="1"/>
    <xf numFmtId="4" fontId="53" fillId="0" borderId="0" xfId="0" applyNumberFormat="1" applyFont="1"/>
    <xf numFmtId="0" fontId="22" fillId="0" borderId="26" xfId="0" applyFont="1" applyBorder="1" applyAlignment="1">
      <alignment horizontal="center" vertical="center"/>
    </xf>
    <xf numFmtId="0" fontId="22" fillId="0" borderId="25"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7" xfId="0" applyNumberFormat="1" applyFont="1" applyBorder="1" applyAlignment="1">
      <alignment horizontal="center"/>
    </xf>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667625832478488E-2"/>
          <c:y val="5.7263855117680597E-2"/>
          <c:w val="0.94987098354456567"/>
          <c:h val="0.86437240094223755"/>
        </c:manualLayout>
      </c:layout>
      <c:barChart>
        <c:barDir val="col"/>
        <c:grouping val="clustered"/>
        <c:varyColors val="0"/>
        <c:ser>
          <c:idx val="0"/>
          <c:order val="0"/>
          <c:spPr>
            <a:solidFill>
              <a:srgbClr val="21335B"/>
            </a:solidFill>
            <a:ln>
              <a:noFill/>
            </a:ln>
          </c:spPr>
          <c:invertIfNegative val="0"/>
          <c:dPt>
            <c:idx val="23"/>
            <c:invertIfNegative val="0"/>
            <c:bubble3D val="0"/>
            <c:spPr>
              <a:solidFill>
                <a:srgbClr val="21335B"/>
              </a:solidFill>
              <a:ln w="15875">
                <a:noFill/>
                <a:prstDash val="lgDash"/>
              </a:ln>
            </c:spPr>
            <c:extLst>
              <c:ext xmlns:c16="http://schemas.microsoft.com/office/drawing/2014/chart" uri="{C3380CC4-5D6E-409C-BE32-E72D297353CC}">
                <c16:uniqueId val="{00000001-3115-4897-BAC5-5F372BB1078C}"/>
              </c:ext>
            </c:extLst>
          </c:dPt>
          <c:dLbls>
            <c:numFmt formatCode="&quot;R$&quot;\ #,##0.00" sourceLinked="0"/>
            <c:spPr>
              <a:noFill/>
              <a:ln>
                <a:noFill/>
              </a:ln>
              <a:effectLst/>
            </c:spPr>
            <c:txPr>
              <a:bodyPr wrap="square" lIns="38100" tIns="19050" rIns="38100" bIns="19050" anchor="ctr">
                <a:spAutoFit/>
              </a:bodyPr>
              <a:lstStyle/>
              <a:p>
                <a:pPr>
                  <a:defRPr b="1"/>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Ref>
              <c:f>[2]Histórico!$C$1:$AD$1</c:f>
              <c:numCache>
                <c:formatCode>General</c:formatCode>
                <c:ptCount val="28"/>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numCache>
            </c:numRef>
          </c:cat>
          <c:val>
            <c:numRef>
              <c:f>[2]Histórico!$C$5:$AD$5</c:f>
              <c:numCache>
                <c:formatCode>General</c:formatCode>
                <c:ptCount val="28"/>
                <c:pt idx="0">
                  <c:v>0.17</c:v>
                </c:pt>
                <c:pt idx="1">
                  <c:v>0.17</c:v>
                </c:pt>
                <c:pt idx="2">
                  <c:v>0.15</c:v>
                </c:pt>
                <c:pt idx="3">
                  <c:v>0.14000000000000001</c:v>
                </c:pt>
                <c:pt idx="4">
                  <c:v>0.13</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pt idx="27">
                  <c:v>0.13500000000000001</c:v>
                </c:pt>
              </c:numCache>
            </c:numRef>
          </c:val>
          <c:extLst>
            <c:ext xmlns:c16="http://schemas.microsoft.com/office/drawing/2014/chart" uri="{C3380CC4-5D6E-409C-BE32-E72D297353CC}">
              <c16:uniqueId val="{00000002-3115-4897-BAC5-5F372BB1078C}"/>
            </c:ext>
          </c:extLst>
        </c:ser>
        <c:dLbls>
          <c:showLegendKey val="0"/>
          <c:showVal val="0"/>
          <c:showCatName val="0"/>
          <c:showSerName val="0"/>
          <c:showPercent val="0"/>
          <c:showBubbleSize val="0"/>
        </c:dLbls>
        <c:gapWidth val="219"/>
        <c:overlap val="-27"/>
        <c:axId val="866888351"/>
        <c:axId val="866868383"/>
      </c:barChart>
      <c:catAx>
        <c:axId val="866888351"/>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866868383"/>
        <c:crosses val="autoZero"/>
        <c:auto val="1"/>
        <c:lblAlgn val="ctr"/>
        <c:lblOffset val="100"/>
        <c:noMultiLvlLbl val="1"/>
      </c:catAx>
      <c:valAx>
        <c:axId val="866868383"/>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866888351"/>
        <c:crosses val="autoZero"/>
        <c:crossBetween val="between"/>
      </c:valAx>
    </c:plotArea>
    <c:plotVisOnly val="1"/>
    <c:dispBlanksAs val="gap"/>
    <c:showDLblsOverMax val="0"/>
    <c:extLst/>
  </c:chart>
  <c:spPr>
    <a:noFill/>
    <a:ln w="9525" cap="flat" cmpd="sng" algn="ctr">
      <a:noFill/>
      <a:round/>
    </a:ln>
    <a:effectLst/>
  </c:spPr>
  <c:txPr>
    <a:bodyPr/>
    <a:lstStyle/>
    <a:p>
      <a:pPr>
        <a:defRPr>
          <a:latin typeface="Barlow" panose="00000500000000000000" pitchFamily="2"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Cotistas!$B$8:$B$36</c:f>
              <c:numCache>
                <c:formatCode>mmm\-yy</c:formatCode>
                <c:ptCount val="29"/>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numCache>
            </c:numRef>
          </c:cat>
          <c:val>
            <c:numRef>
              <c:f>Cotistas!$C$8:$C$36</c:f>
              <c:numCache>
                <c:formatCode>General</c:formatCode>
                <c:ptCount val="29"/>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85968</xdr:colOff>
      <xdr:row>4</xdr:row>
      <xdr:rowOff>55439</xdr:rowOff>
    </xdr:from>
    <xdr:to>
      <xdr:col>22</xdr:col>
      <xdr:colOff>656247</xdr:colOff>
      <xdr:row>33</xdr:row>
      <xdr:rowOff>58616</xdr:rowOff>
    </xdr:to>
    <xdr:graphicFrame macro="">
      <xdr:nvGraphicFramePr>
        <xdr:cNvPr id="5" name="Gráfico 3">
          <a:extLst>
            <a:ext uri="{FF2B5EF4-FFF2-40B4-BE49-F238E27FC236}">
              <a16:creationId xmlns:a16="http://schemas.microsoft.com/office/drawing/2014/main" id="{8FF5E70F-8C88-4710-B5C2-ACFF140A90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182033</xdr:colOff>
      <xdr:row>6</xdr:row>
      <xdr:rowOff>143931</xdr:rowOff>
    </xdr:from>
    <xdr:to>
      <xdr:col>20</xdr:col>
      <xdr:colOff>410105</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104212</xdr:colOff>
      <xdr:row>1</xdr:row>
      <xdr:rowOff>10826</xdr:rowOff>
    </xdr:from>
    <xdr:to>
      <xdr:col>1</xdr:col>
      <xdr:colOff>1744</xdr:colOff>
      <xdr:row>3</xdr:row>
      <xdr:rowOff>13607</xdr:rowOff>
    </xdr:to>
    <xdr:pic>
      <xdr:nvPicPr>
        <xdr:cNvPr id="2" name="Google Shape;104;p17">
          <a:extLst>
            <a:ext uri="{FF2B5EF4-FFF2-40B4-BE49-F238E27FC236}">
              <a16:creationId xmlns:a16="http://schemas.microsoft.com/office/drawing/2014/main" id="{09477760-00E2-4C27-9CC3-9B2123C25DA6}"/>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4212" y="187719"/>
          <a:ext cx="523461" cy="35656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RI%20e%20Opera&#231;&#245;es\LIFE11\Base%20-%20Gerencial%20(GB)%2007.24.xlsx" TargetMode="External"/><Relationship Id="rId1" Type="http://schemas.openxmlformats.org/officeDocument/2006/relationships/externalLinkPath" Target="/RI%20e%20Opera&#231;&#245;es/LIFE11/Base%20-%20Gerencial%20(GB)%2007.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erações"/>
      <sheetName val="Carteira"/>
      <sheetName val="Evolução PL"/>
      <sheetName val="CRI's"/>
      <sheetName val="Histórico"/>
      <sheetName val="Gráficos"/>
      <sheetName val="DRE - Contábil"/>
      <sheetName val="DRE - Checker"/>
      <sheetName val="DRE Normal"/>
      <sheetName val="DRE Gerencial"/>
      <sheetName val="Check DRE"/>
      <sheetName val="Quebra PL"/>
      <sheetName val="Nº Cotistas"/>
      <sheetName val="Projeção de Yield"/>
    </sheetNames>
    <sheetDataSet>
      <sheetData sheetId="0"/>
      <sheetData sheetId="1"/>
      <sheetData sheetId="2"/>
      <sheetData sheetId="3"/>
      <sheetData sheetId="4">
        <row r="1">
          <cell r="C1">
            <v>44652</v>
          </cell>
          <cell r="D1">
            <v>44682</v>
          </cell>
          <cell r="E1">
            <v>44713</v>
          </cell>
          <cell r="F1">
            <v>44743</v>
          </cell>
          <cell r="G1">
            <v>44774</v>
          </cell>
          <cell r="H1">
            <v>44805</v>
          </cell>
          <cell r="I1">
            <v>44835</v>
          </cell>
          <cell r="J1">
            <v>44866</v>
          </cell>
          <cell r="K1">
            <v>44896</v>
          </cell>
          <cell r="L1">
            <v>44927</v>
          </cell>
          <cell r="M1">
            <v>44958</v>
          </cell>
          <cell r="N1">
            <v>44986</v>
          </cell>
          <cell r="O1">
            <v>45017</v>
          </cell>
          <cell r="P1">
            <v>45047</v>
          </cell>
          <cell r="Q1">
            <v>45078</v>
          </cell>
          <cell r="R1">
            <v>45108</v>
          </cell>
          <cell r="S1">
            <v>45139</v>
          </cell>
          <cell r="T1">
            <v>45170</v>
          </cell>
          <cell r="U1">
            <v>45200</v>
          </cell>
          <cell r="V1">
            <v>45231</v>
          </cell>
          <cell r="W1">
            <v>45261</v>
          </cell>
          <cell r="X1">
            <v>45292</v>
          </cell>
          <cell r="Y1">
            <v>45323</v>
          </cell>
          <cell r="Z1">
            <v>45352</v>
          </cell>
          <cell r="AA1">
            <v>45383</v>
          </cell>
          <cell r="AB1">
            <v>45413</v>
          </cell>
          <cell r="AC1">
            <v>45444</v>
          </cell>
          <cell r="AD1">
            <v>45474</v>
          </cell>
        </row>
        <row r="5">
          <cell r="C5">
            <v>0.17</v>
          </cell>
          <cell r="D5">
            <v>0.17</v>
          </cell>
          <cell r="E5">
            <v>0.15</v>
          </cell>
          <cell r="F5">
            <v>0.14000000000000001</v>
          </cell>
          <cell r="G5">
            <v>0.13</v>
          </cell>
          <cell r="H5">
            <v>0.14000000000000001</v>
          </cell>
          <cell r="I5">
            <v>0.13500000000000001</v>
          </cell>
          <cell r="J5">
            <v>0.13</v>
          </cell>
          <cell r="K5">
            <v>0.13200000000000001</v>
          </cell>
          <cell r="L5">
            <v>0.13</v>
          </cell>
          <cell r="M5">
            <v>0.13500000000000001</v>
          </cell>
          <cell r="N5">
            <v>0.15</v>
          </cell>
          <cell r="O5">
            <v>0.15</v>
          </cell>
          <cell r="P5">
            <v>0.15</v>
          </cell>
          <cell r="Q5">
            <v>0.14000000000000001</v>
          </cell>
          <cell r="R5">
            <v>0.12</v>
          </cell>
          <cell r="S5">
            <v>0.122</v>
          </cell>
          <cell r="T5">
            <v>0.12</v>
          </cell>
          <cell r="U5">
            <v>0.125</v>
          </cell>
          <cell r="V5">
            <v>0.125</v>
          </cell>
          <cell r="W5">
            <v>0.125</v>
          </cell>
          <cell r="X5">
            <v>0.12</v>
          </cell>
          <cell r="Y5">
            <v>0.12</v>
          </cell>
          <cell r="Z5">
            <v>0.12</v>
          </cell>
          <cell r="AA5">
            <v>0.12</v>
          </cell>
          <cell r="AB5">
            <v>0.12</v>
          </cell>
          <cell r="AC5">
            <v>0.18</v>
          </cell>
          <cell r="AD5">
            <v>0.13500000000000001</v>
          </cell>
        </row>
      </sheetData>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4" headerRowDxfId="12" dataDxfId="11" totalsRowDxfId="10">
  <autoFilter ref="X6:Z34"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6" totalsRowShown="0" headerRowDxfId="3" dataDxfId="2">
  <autoFilter ref="B7:C36"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topLeftCell="A17" zoomScale="60" zoomScaleNormal="60" zoomScaleSheetLayoutView="40" zoomScalePageLayoutView="60" workbookViewId="0">
      <selection activeCell="B32" sqref="B32"/>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45474</v>
      </c>
    </row>
    <row r="2" spans="1:2" ht="29.4" customHeight="1" x14ac:dyDescent="0.4">
      <c r="A2" s="45"/>
      <c r="B2" s="24"/>
    </row>
    <row r="3" spans="1:2" ht="48.65" customHeight="1" x14ac:dyDescent="0.35">
      <c r="A3" s="45"/>
      <c r="B3" s="50" t="s">
        <v>115</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171</v>
      </c>
    </row>
    <row r="25" spans="1:2" ht="21" x14ac:dyDescent="0.35">
      <c r="B25" s="156" t="s">
        <v>172</v>
      </c>
    </row>
    <row r="26" spans="1:2" ht="21" x14ac:dyDescent="0.35">
      <c r="B26" s="156" t="s">
        <v>170</v>
      </c>
    </row>
    <row r="27" spans="1:2" ht="21" x14ac:dyDescent="0.35">
      <c r="B27" s="156" t="s">
        <v>173</v>
      </c>
    </row>
    <row r="28" spans="1:2" ht="16" x14ac:dyDescent="0.4">
      <c r="B28" s="157"/>
    </row>
    <row r="29" spans="1:2" ht="32.4" customHeight="1" x14ac:dyDescent="0.35">
      <c r="B29" s="161" t="s">
        <v>13</v>
      </c>
    </row>
    <row r="30" spans="1:2" ht="16" x14ac:dyDescent="0.4">
      <c r="B30" s="157"/>
    </row>
    <row r="31" spans="1:2" ht="48.65" customHeight="1" x14ac:dyDescent="0.35">
      <c r="A31" s="45"/>
      <c r="B31" s="155" t="s">
        <v>202</v>
      </c>
    </row>
    <row r="32" spans="1:2" ht="20.399999999999999" customHeight="1" x14ac:dyDescent="0.35">
      <c r="B32" s="159"/>
    </row>
    <row r="33" spans="2:2" ht="21" x14ac:dyDescent="0.35">
      <c r="B33" s="153" t="s">
        <v>164</v>
      </c>
    </row>
    <row r="34" spans="2:2" ht="21" x14ac:dyDescent="0.35">
      <c r="B34" s="153" t="s">
        <v>174</v>
      </c>
    </row>
    <row r="35" spans="2:2" ht="21" x14ac:dyDescent="0.35">
      <c r="B35" s="153" t="s">
        <v>175</v>
      </c>
    </row>
    <row r="36" spans="2:2" ht="21" x14ac:dyDescent="0.35">
      <c r="B36" s="153" t="s">
        <v>176</v>
      </c>
    </row>
    <row r="37" spans="2:2" ht="21" x14ac:dyDescent="0.35">
      <c r="B37" s="153" t="s">
        <v>177</v>
      </c>
    </row>
    <row r="38" spans="2:2" ht="21" x14ac:dyDescent="0.35">
      <c r="B38" s="153" t="s">
        <v>178</v>
      </c>
    </row>
    <row r="39" spans="2:2" ht="21" x14ac:dyDescent="0.35">
      <c r="B39" s="153" t="s">
        <v>179</v>
      </c>
    </row>
    <row r="40" spans="2:2" ht="21" x14ac:dyDescent="0.35">
      <c r="B40" s="153" t="s">
        <v>180</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8"/>
  <sheetViews>
    <sheetView zoomScale="70" zoomScaleNormal="70" workbookViewId="0">
      <selection activeCell="C7" sqref="C7"/>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08" t="s">
        <v>19</v>
      </c>
      <c r="C3" s="208"/>
      <c r="D3" s="24"/>
      <c r="E3" s="24"/>
      <c r="F3" s="24"/>
      <c r="G3" s="24"/>
      <c r="H3" s="24"/>
      <c r="I3" s="24"/>
      <c r="J3" s="24"/>
      <c r="K3" s="24"/>
      <c r="L3" s="24"/>
      <c r="M3" s="24"/>
      <c r="N3" s="24"/>
      <c r="O3" s="24"/>
      <c r="P3" s="24"/>
      <c r="Q3" s="24"/>
      <c r="R3" s="24"/>
    </row>
    <row r="4" spans="1:19" s="25" customFormat="1" ht="24" customHeight="1" x14ac:dyDescent="0.4">
      <c r="B4" s="209" t="s">
        <v>203</v>
      </c>
      <c r="C4" s="209"/>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12" t="s">
        <v>20</v>
      </c>
      <c r="B6" s="213"/>
      <c r="C6" s="147" t="s">
        <v>21</v>
      </c>
      <c r="D6" s="147" t="s">
        <v>22</v>
      </c>
      <c r="E6" s="147" t="s">
        <v>23</v>
      </c>
      <c r="F6" s="148" t="s">
        <v>24</v>
      </c>
      <c r="G6" s="148" t="s">
        <v>25</v>
      </c>
      <c r="H6" s="148" t="s">
        <v>26</v>
      </c>
      <c r="I6" s="148" t="s">
        <v>27</v>
      </c>
      <c r="J6" s="148" t="s">
        <v>28</v>
      </c>
      <c r="K6" s="173" t="s">
        <v>29</v>
      </c>
      <c r="L6" s="174" t="s">
        <v>30</v>
      </c>
      <c r="M6" s="149" t="s">
        <v>31</v>
      </c>
      <c r="N6" s="148" t="s">
        <v>32</v>
      </c>
      <c r="O6" s="150" t="s">
        <v>106</v>
      </c>
      <c r="P6" s="148" t="s">
        <v>33</v>
      </c>
      <c r="Q6" s="26" t="s">
        <v>34</v>
      </c>
      <c r="R6" s="149" t="s">
        <v>35</v>
      </c>
      <c r="S6" s="27" t="s">
        <v>36</v>
      </c>
    </row>
    <row r="7" spans="1:19" ht="129.65" customHeight="1" x14ac:dyDescent="0.35">
      <c r="A7" s="211" t="s">
        <v>37</v>
      </c>
      <c r="B7" s="211"/>
      <c r="C7" s="28" t="s">
        <v>38</v>
      </c>
      <c r="D7" s="29" t="s">
        <v>39</v>
      </c>
      <c r="E7" s="29" t="s">
        <v>40</v>
      </c>
      <c r="F7" s="29" t="s">
        <v>41</v>
      </c>
      <c r="G7" s="30">
        <v>0.12</v>
      </c>
      <c r="H7" s="31">
        <v>0.56000000000000005</v>
      </c>
      <c r="I7" s="33">
        <v>6.6000000000000003E-2</v>
      </c>
      <c r="J7" s="34">
        <v>0.5</v>
      </c>
      <c r="K7" s="32">
        <v>59000</v>
      </c>
      <c r="L7" s="32">
        <v>14215</v>
      </c>
      <c r="M7" s="30">
        <v>1</v>
      </c>
      <c r="N7" s="35">
        <v>12359</v>
      </c>
      <c r="O7" s="30">
        <v>0.93799999999999994</v>
      </c>
      <c r="P7" s="36" t="s">
        <v>42</v>
      </c>
      <c r="Q7" s="29" t="s">
        <v>43</v>
      </c>
      <c r="R7" s="30">
        <v>1.0657000000000001</v>
      </c>
      <c r="S7" s="15">
        <v>1</v>
      </c>
    </row>
    <row r="8" spans="1:19" ht="133" customHeight="1" x14ac:dyDescent="0.35">
      <c r="A8" s="210" t="s">
        <v>44</v>
      </c>
      <c r="B8" s="210"/>
      <c r="C8" s="28" t="s">
        <v>45</v>
      </c>
      <c r="D8" s="29" t="s">
        <v>46</v>
      </c>
      <c r="E8" s="29" t="s">
        <v>47</v>
      </c>
      <c r="F8" s="29" t="s">
        <v>41</v>
      </c>
      <c r="G8" s="30">
        <v>0.12</v>
      </c>
      <c r="H8" s="38">
        <v>0.92</v>
      </c>
      <c r="I8" s="33">
        <v>0.06</v>
      </c>
      <c r="J8" s="33">
        <v>1</v>
      </c>
      <c r="K8" s="32">
        <v>20000</v>
      </c>
      <c r="L8" s="32">
        <v>20000</v>
      </c>
      <c r="M8" s="30">
        <v>1</v>
      </c>
      <c r="N8" s="35">
        <v>11810</v>
      </c>
      <c r="O8" s="30">
        <v>0.5</v>
      </c>
      <c r="P8" s="39" t="s">
        <v>48</v>
      </c>
      <c r="Q8" s="29" t="s">
        <v>43</v>
      </c>
      <c r="R8" s="30">
        <v>2</v>
      </c>
    </row>
    <row r="9" spans="1:19" ht="121.5" customHeight="1" x14ac:dyDescent="0.35">
      <c r="A9" s="210" t="s">
        <v>49</v>
      </c>
      <c r="B9" s="210"/>
      <c r="C9" s="28" t="s">
        <v>50</v>
      </c>
      <c r="D9" s="29" t="s">
        <v>46</v>
      </c>
      <c r="E9" s="29" t="s">
        <v>51</v>
      </c>
      <c r="F9" s="29" t="s">
        <v>52</v>
      </c>
      <c r="G9" s="30">
        <v>0.125</v>
      </c>
      <c r="H9" s="38">
        <v>1.49</v>
      </c>
      <c r="I9" s="33">
        <v>0.152</v>
      </c>
      <c r="J9" s="34">
        <v>1</v>
      </c>
      <c r="K9" s="32">
        <v>103160</v>
      </c>
      <c r="L9" s="32">
        <v>39271</v>
      </c>
      <c r="M9" s="30">
        <v>0.76139999999999997</v>
      </c>
      <c r="N9" s="35">
        <v>11171</v>
      </c>
      <c r="O9" s="30">
        <v>0.34179999999999999</v>
      </c>
      <c r="P9" s="39" t="s">
        <v>53</v>
      </c>
      <c r="Q9" s="29" t="s">
        <v>54</v>
      </c>
      <c r="R9" s="30">
        <v>2.9275000000000002</v>
      </c>
    </row>
    <row r="10" spans="1:19" ht="107.25" customHeight="1" x14ac:dyDescent="0.35">
      <c r="A10" s="210" t="s">
        <v>55</v>
      </c>
      <c r="B10" s="210"/>
      <c r="C10" s="28" t="s">
        <v>56</v>
      </c>
      <c r="D10" s="29" t="s">
        <v>39</v>
      </c>
      <c r="E10" s="29" t="s">
        <v>57</v>
      </c>
      <c r="F10" s="29" t="s">
        <v>41</v>
      </c>
      <c r="G10" s="30" t="s">
        <v>58</v>
      </c>
      <c r="H10" s="38">
        <v>1.2</v>
      </c>
      <c r="I10" s="33">
        <v>0.107</v>
      </c>
      <c r="J10" s="34">
        <v>1</v>
      </c>
      <c r="K10" s="32">
        <v>32100</v>
      </c>
      <c r="L10" s="32">
        <v>24504</v>
      </c>
      <c r="M10" s="30">
        <v>0.76339999999999997</v>
      </c>
      <c r="N10" s="35">
        <v>11933</v>
      </c>
      <c r="O10" s="30">
        <v>0.47489999999999999</v>
      </c>
      <c r="P10" s="39" t="s">
        <v>59</v>
      </c>
      <c r="Q10" s="29" t="s">
        <v>60</v>
      </c>
      <c r="R10" s="30">
        <v>2.1055000000000001</v>
      </c>
    </row>
    <row r="11" spans="1:19" ht="107.25" customHeight="1" x14ac:dyDescent="0.35">
      <c r="A11" s="210" t="s">
        <v>61</v>
      </c>
      <c r="B11" s="210"/>
      <c r="C11" s="28" t="s">
        <v>62</v>
      </c>
      <c r="D11" s="29" t="s">
        <v>46</v>
      </c>
      <c r="E11" s="29" t="s">
        <v>63</v>
      </c>
      <c r="F11" s="29" t="s">
        <v>41</v>
      </c>
      <c r="G11" s="30">
        <v>0.1215</v>
      </c>
      <c r="H11" s="38">
        <v>3.26</v>
      </c>
      <c r="I11" s="33">
        <v>7.0999999999999994E-2</v>
      </c>
      <c r="J11" s="30">
        <v>0.61250000000000004</v>
      </c>
      <c r="K11" s="32">
        <v>80425</v>
      </c>
      <c r="L11" s="32">
        <v>28786</v>
      </c>
      <c r="M11" s="30">
        <v>0.3579</v>
      </c>
      <c r="N11" s="35">
        <v>12724</v>
      </c>
      <c r="O11" s="30">
        <v>0.39050000000000001</v>
      </c>
      <c r="P11" s="47" t="s">
        <v>64</v>
      </c>
      <c r="Q11" s="29" t="s">
        <v>65</v>
      </c>
      <c r="R11" s="30">
        <v>2.5609999999999999</v>
      </c>
    </row>
    <row r="12" spans="1:19" ht="107.25" customHeight="1" x14ac:dyDescent="0.35">
      <c r="A12" s="210" t="s">
        <v>183</v>
      </c>
      <c r="B12" s="210"/>
      <c r="C12" s="28" t="s">
        <v>184</v>
      </c>
      <c r="D12" s="29" t="s">
        <v>39</v>
      </c>
      <c r="E12" s="29" t="s">
        <v>47</v>
      </c>
      <c r="F12" s="29" t="s">
        <v>41</v>
      </c>
      <c r="G12" s="30">
        <v>0.13900000000000001</v>
      </c>
      <c r="H12" s="38">
        <v>0.57999999999999996</v>
      </c>
      <c r="I12" s="33">
        <v>1.7000000000000001E-2</v>
      </c>
      <c r="J12" s="30">
        <v>1</v>
      </c>
      <c r="K12" s="32">
        <v>10000</v>
      </c>
      <c r="L12" s="32">
        <v>4000</v>
      </c>
      <c r="M12" s="30">
        <v>0.4</v>
      </c>
      <c r="N12" s="35">
        <v>11933</v>
      </c>
      <c r="O12" s="30">
        <v>0.47489999999999999</v>
      </c>
      <c r="P12" s="203" t="s">
        <v>185</v>
      </c>
      <c r="Q12" s="29" t="s">
        <v>65</v>
      </c>
      <c r="R12" s="30">
        <v>2.1055000000000001</v>
      </c>
    </row>
    <row r="13" spans="1:19" ht="107.25" customHeight="1" x14ac:dyDescent="0.35">
      <c r="A13" s="210" t="s">
        <v>66</v>
      </c>
      <c r="B13" s="210"/>
      <c r="C13" s="28" t="s">
        <v>67</v>
      </c>
      <c r="D13" s="29" t="s">
        <v>68</v>
      </c>
      <c r="E13" s="29" t="s">
        <v>69</v>
      </c>
      <c r="F13" s="29" t="s">
        <v>41</v>
      </c>
      <c r="G13" s="30">
        <v>0.17</v>
      </c>
      <c r="H13" s="31">
        <v>1.47</v>
      </c>
      <c r="I13" s="33">
        <v>5.5E-2</v>
      </c>
      <c r="J13" s="34">
        <v>1</v>
      </c>
      <c r="K13" s="32">
        <v>25431</v>
      </c>
      <c r="L13" s="32">
        <v>20750</v>
      </c>
      <c r="M13" s="30">
        <v>0.81589999999999996</v>
      </c>
      <c r="N13" s="35">
        <v>47392</v>
      </c>
      <c r="O13" s="30">
        <v>0.30009999999999998</v>
      </c>
      <c r="P13" s="204" t="s">
        <v>70</v>
      </c>
      <c r="Q13" s="29" t="s">
        <v>54</v>
      </c>
      <c r="R13" s="30">
        <v>3.3323999999999998</v>
      </c>
    </row>
    <row r="14" spans="1:19" ht="107.25" customHeight="1" x14ac:dyDescent="0.35">
      <c r="A14" s="210" t="s">
        <v>71</v>
      </c>
      <c r="B14" s="210"/>
      <c r="C14" s="28" t="s">
        <v>72</v>
      </c>
      <c r="D14" s="29" t="s">
        <v>68</v>
      </c>
      <c r="E14" s="29" t="s">
        <v>73</v>
      </c>
      <c r="F14" s="29" t="s">
        <v>52</v>
      </c>
      <c r="G14" s="30">
        <v>0.1</v>
      </c>
      <c r="H14" s="38" t="s">
        <v>74</v>
      </c>
      <c r="I14" s="33">
        <v>0.152</v>
      </c>
      <c r="J14" s="41">
        <v>8.2199999999999995E-2</v>
      </c>
      <c r="K14" s="32"/>
      <c r="L14" s="32"/>
      <c r="M14" s="37"/>
      <c r="N14" s="35" t="s">
        <v>74</v>
      </c>
      <c r="O14" s="30" t="s">
        <v>74</v>
      </c>
      <c r="P14" s="40" t="s">
        <v>74</v>
      </c>
      <c r="Q14" s="29" t="s">
        <v>75</v>
      </c>
      <c r="R14" s="37" t="s">
        <v>74</v>
      </c>
      <c r="S14" s="15">
        <v>1</v>
      </c>
    </row>
    <row r="15" spans="1:19" ht="107.25" customHeight="1" x14ac:dyDescent="0.35">
      <c r="A15" s="210" t="s">
        <v>76</v>
      </c>
      <c r="B15" s="210"/>
      <c r="C15" s="28"/>
      <c r="D15" s="29" t="s">
        <v>46</v>
      </c>
      <c r="E15" s="29" t="s">
        <v>51</v>
      </c>
      <c r="F15" s="29" t="s">
        <v>52</v>
      </c>
      <c r="G15" s="30">
        <v>0.221</v>
      </c>
      <c r="H15" s="31">
        <v>1.8</v>
      </c>
      <c r="I15" s="33">
        <v>0.01</v>
      </c>
      <c r="J15" s="34" t="s">
        <v>74</v>
      </c>
      <c r="K15" s="32"/>
      <c r="L15" s="32"/>
      <c r="M15" s="37"/>
      <c r="N15" s="35">
        <v>11079</v>
      </c>
      <c r="O15" s="30">
        <v>0.28999999999999998</v>
      </c>
      <c r="P15" s="40" t="s">
        <v>74</v>
      </c>
      <c r="Q15" s="29" t="s">
        <v>77</v>
      </c>
      <c r="R15" s="30">
        <v>3.4529999999999998</v>
      </c>
      <c r="S15" s="15">
        <v>0</v>
      </c>
    </row>
    <row r="16" spans="1:19" ht="107.25" customHeight="1" x14ac:dyDescent="0.35">
      <c r="A16" s="210" t="s">
        <v>78</v>
      </c>
      <c r="B16" s="210"/>
      <c r="C16" s="28"/>
      <c r="D16" s="29" t="s">
        <v>68</v>
      </c>
      <c r="E16" s="29" t="s">
        <v>47</v>
      </c>
      <c r="F16" s="29" t="s">
        <v>52</v>
      </c>
      <c r="G16" s="30">
        <v>0.2387</v>
      </c>
      <c r="H16" s="38">
        <v>1.1399999999999999</v>
      </c>
      <c r="I16" s="33">
        <v>1.7000000000000001E-2</v>
      </c>
      <c r="J16" s="34" t="s">
        <v>74</v>
      </c>
      <c r="K16" s="32"/>
      <c r="L16" s="32"/>
      <c r="M16" s="37"/>
      <c r="N16" s="35">
        <v>45901</v>
      </c>
      <c r="O16" s="30">
        <v>0.28199999999999997</v>
      </c>
      <c r="P16" s="40" t="s">
        <v>74</v>
      </c>
      <c r="Q16" s="29" t="s">
        <v>77</v>
      </c>
      <c r="R16" s="30">
        <v>3.5470000000000002</v>
      </c>
      <c r="S16" s="15">
        <v>0</v>
      </c>
    </row>
    <row r="17" spans="1:19" ht="164.5" customHeight="1" x14ac:dyDescent="0.35">
      <c r="A17" s="211" t="s">
        <v>79</v>
      </c>
      <c r="B17" s="211"/>
      <c r="C17" s="28" t="s">
        <v>80</v>
      </c>
      <c r="D17" s="29" t="s">
        <v>46</v>
      </c>
      <c r="E17" s="29" t="s">
        <v>47</v>
      </c>
      <c r="F17" s="29" t="s">
        <v>41</v>
      </c>
      <c r="G17" s="30">
        <v>0.13</v>
      </c>
      <c r="H17" s="38">
        <v>4.37</v>
      </c>
      <c r="I17" s="33">
        <v>0.06</v>
      </c>
      <c r="J17" s="33">
        <v>1</v>
      </c>
      <c r="K17" s="32"/>
      <c r="L17" s="32"/>
      <c r="M17" s="37"/>
      <c r="N17" s="35" t="s">
        <v>74</v>
      </c>
      <c r="O17" s="30">
        <v>0.78049999999999997</v>
      </c>
      <c r="P17" s="40" t="s">
        <v>74</v>
      </c>
      <c r="Q17" s="29" t="s">
        <v>77</v>
      </c>
      <c r="R17" s="37" t="s">
        <v>77</v>
      </c>
      <c r="S17" s="15">
        <v>1</v>
      </c>
    </row>
    <row r="18" spans="1:19" ht="161.5" customHeight="1" x14ac:dyDescent="0.35">
      <c r="A18" s="210" t="s">
        <v>81</v>
      </c>
      <c r="B18" s="210"/>
      <c r="C18" s="28" t="s">
        <v>80</v>
      </c>
      <c r="D18" s="29" t="s">
        <v>46</v>
      </c>
      <c r="E18" s="29" t="s">
        <v>47</v>
      </c>
      <c r="F18" s="29" t="s">
        <v>41</v>
      </c>
      <c r="G18" s="30">
        <v>0.13</v>
      </c>
      <c r="H18" s="38">
        <v>4.82</v>
      </c>
      <c r="I18" s="33">
        <v>2.4E-2</v>
      </c>
      <c r="J18" s="33">
        <v>1</v>
      </c>
      <c r="K18" s="32"/>
      <c r="L18" s="32"/>
      <c r="M18" s="37"/>
      <c r="N18" s="35"/>
      <c r="O18" s="30">
        <v>0.87749999999999995</v>
      </c>
      <c r="P18" s="40" t="s">
        <v>74</v>
      </c>
      <c r="Q18" s="29" t="s">
        <v>77</v>
      </c>
      <c r="R18" s="37" t="s">
        <v>77</v>
      </c>
    </row>
    <row r="19" spans="1:19" ht="107.25" customHeight="1" x14ac:dyDescent="0.35">
      <c r="A19" s="210" t="s">
        <v>82</v>
      </c>
      <c r="B19" s="210"/>
      <c r="C19" s="28" t="s">
        <v>83</v>
      </c>
      <c r="D19" s="29" t="s">
        <v>46</v>
      </c>
      <c r="E19" s="29" t="s">
        <v>47</v>
      </c>
      <c r="F19" s="29" t="s">
        <v>84</v>
      </c>
      <c r="G19" s="30">
        <v>0.13</v>
      </c>
      <c r="H19" s="38">
        <v>4.26</v>
      </c>
      <c r="I19" s="33">
        <v>0.14299999999999999</v>
      </c>
      <c r="J19" s="33">
        <v>1</v>
      </c>
      <c r="K19" s="32"/>
      <c r="L19" s="32"/>
      <c r="M19" s="37"/>
      <c r="N19" s="35" t="s">
        <v>74</v>
      </c>
      <c r="O19" s="30">
        <v>0.68310000000000004</v>
      </c>
      <c r="P19" s="40" t="s">
        <v>74</v>
      </c>
      <c r="Q19" s="29" t="s">
        <v>77</v>
      </c>
      <c r="R19" s="37" t="s">
        <v>77</v>
      </c>
      <c r="S19" s="15">
        <v>1</v>
      </c>
    </row>
    <row r="20" spans="1:19" ht="107.25" customHeight="1" x14ac:dyDescent="0.35">
      <c r="A20" s="211" t="s">
        <v>85</v>
      </c>
      <c r="B20" s="211"/>
      <c r="C20" s="28" t="s">
        <v>86</v>
      </c>
      <c r="D20" s="29" t="s">
        <v>46</v>
      </c>
      <c r="E20" s="29" t="s">
        <v>47</v>
      </c>
      <c r="F20" s="29" t="s">
        <v>41</v>
      </c>
      <c r="G20" s="30">
        <v>0.12</v>
      </c>
      <c r="H20" s="31">
        <v>4.7</v>
      </c>
      <c r="I20" s="33">
        <v>2.8000000000000001E-2</v>
      </c>
      <c r="J20" s="33">
        <v>1</v>
      </c>
      <c r="K20" s="32"/>
      <c r="L20" s="32"/>
      <c r="M20" s="37"/>
      <c r="N20" s="35" t="s">
        <v>74</v>
      </c>
      <c r="O20" s="30">
        <v>0.67700000000000005</v>
      </c>
      <c r="P20" s="40" t="s">
        <v>74</v>
      </c>
      <c r="Q20" s="29" t="s">
        <v>77</v>
      </c>
      <c r="R20" s="37" t="s">
        <v>77</v>
      </c>
      <c r="S20" s="15">
        <v>0</v>
      </c>
    </row>
    <row r="21" spans="1:19" s="25" customFormat="1" ht="18.75" customHeight="1" x14ac:dyDescent="0.35">
      <c r="B21" s="42"/>
      <c r="M21" s="43"/>
      <c r="P21" s="44"/>
    </row>
    <row r="22" spans="1:19" ht="18.75" customHeight="1" x14ac:dyDescent="0.35"/>
    <row r="23" spans="1:19" ht="18.75" customHeight="1" x14ac:dyDescent="0.35"/>
    <row r="24" spans="1:19" ht="18.75" customHeight="1" x14ac:dyDescent="0.35"/>
    <row r="25" spans="1:19" ht="18.75" customHeight="1" x14ac:dyDescent="0.35"/>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sheetData>
  <autoFilter ref="B6:R6" xr:uid="{00000000-0009-0000-0000-000001000000}"/>
  <mergeCells count="17">
    <mergeCell ref="A19:B19"/>
    <mergeCell ref="A20:B20"/>
    <mergeCell ref="A7:B7"/>
    <mergeCell ref="A8:B8"/>
    <mergeCell ref="A6:B6"/>
    <mergeCell ref="A9:B9"/>
    <mergeCell ref="A10:B10"/>
    <mergeCell ref="A11:B11"/>
    <mergeCell ref="A13:B13"/>
    <mergeCell ref="A14:B14"/>
    <mergeCell ref="A15:B15"/>
    <mergeCell ref="A12:B12"/>
    <mergeCell ref="B3:C3"/>
    <mergeCell ref="B4:C4"/>
    <mergeCell ref="A16:B16"/>
    <mergeCell ref="A17:B17"/>
    <mergeCell ref="A18:B18"/>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4"/>
  <sheetViews>
    <sheetView showGridLines="0" topLeftCell="A9" zoomScale="65" zoomScaleNormal="65" workbookViewId="0">
      <selection activeCell="Z34" sqref="Z34"/>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14" t="s">
        <v>114</v>
      </c>
      <c r="C2" s="214"/>
      <c r="D2" s="214"/>
      <c r="E2" s="214"/>
      <c r="F2" s="214"/>
      <c r="G2" s="214"/>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5" t="s">
        <v>91</v>
      </c>
      <c r="Y6" s="135" t="s">
        <v>92</v>
      </c>
      <c r="Z6" s="131" t="s">
        <v>93</v>
      </c>
      <c r="AA6" s="7"/>
    </row>
    <row r="7" spans="2:29" ht="16" x14ac:dyDescent="0.4">
      <c r="X7" s="138">
        <v>44652</v>
      </c>
      <c r="Y7" s="136">
        <v>0.17</v>
      </c>
      <c r="Z7" s="132">
        <v>1.6799999999999999E-2</v>
      </c>
      <c r="AA7" s="14"/>
      <c r="AB7" s="10"/>
      <c r="AC7" s="10"/>
    </row>
    <row r="8" spans="2:29" ht="16" x14ac:dyDescent="0.4">
      <c r="X8" s="139">
        <v>44682</v>
      </c>
      <c r="Y8" s="137">
        <v>0.17</v>
      </c>
      <c r="Z8" s="133">
        <v>1.67E-2</v>
      </c>
      <c r="AC8" s="5"/>
    </row>
    <row r="9" spans="2:29" ht="16" x14ac:dyDescent="0.4">
      <c r="U9" s="13"/>
      <c r="X9" s="138">
        <v>44713</v>
      </c>
      <c r="Y9" s="136">
        <v>0.15</v>
      </c>
      <c r="Z9" s="132">
        <v>1.4930000000000001E-2</v>
      </c>
    </row>
    <row r="10" spans="2:29" ht="16" x14ac:dyDescent="0.4">
      <c r="U10" s="7"/>
      <c r="X10" s="139">
        <v>44743</v>
      </c>
      <c r="Y10" s="137">
        <v>0.14000000000000001</v>
      </c>
      <c r="Z10" s="133">
        <v>1.4E-2</v>
      </c>
      <c r="AA10" s="5"/>
    </row>
    <row r="11" spans="2:29" ht="16" x14ac:dyDescent="0.4">
      <c r="X11" s="138">
        <v>44774</v>
      </c>
      <c r="Y11" s="136">
        <v>0.13</v>
      </c>
      <c r="Z11" s="132">
        <v>1.32E-2</v>
      </c>
    </row>
    <row r="12" spans="2:29" ht="16" x14ac:dyDescent="0.4">
      <c r="X12" s="139">
        <v>44805</v>
      </c>
      <c r="Y12" s="137">
        <v>0.14000000000000001</v>
      </c>
      <c r="Z12" s="133">
        <v>1.4E-2</v>
      </c>
    </row>
    <row r="13" spans="2:29" ht="16" x14ac:dyDescent="0.4">
      <c r="X13" s="138">
        <v>44835</v>
      </c>
      <c r="Y13" s="136">
        <v>0.13500000000000001</v>
      </c>
      <c r="Z13" s="132">
        <v>1.35E-2</v>
      </c>
    </row>
    <row r="14" spans="2:29" ht="16" x14ac:dyDescent="0.4">
      <c r="X14" s="139">
        <v>44866</v>
      </c>
      <c r="Y14" s="137">
        <v>0.13</v>
      </c>
      <c r="Z14" s="133">
        <v>1.3000000000000001E-2</v>
      </c>
    </row>
    <row r="15" spans="2:29" ht="16" x14ac:dyDescent="0.4">
      <c r="X15" s="138">
        <v>44896</v>
      </c>
      <c r="Y15" s="136">
        <v>0.13</v>
      </c>
      <c r="Z15" s="132">
        <v>1.32E-2</v>
      </c>
    </row>
    <row r="16" spans="2:29" ht="16" x14ac:dyDescent="0.4">
      <c r="X16" s="139">
        <v>44927</v>
      </c>
      <c r="Y16" s="137">
        <v>0.13</v>
      </c>
      <c r="Z16" s="133">
        <v>1.2800000000000001E-2</v>
      </c>
    </row>
    <row r="17" spans="24:26" ht="16" x14ac:dyDescent="0.4">
      <c r="X17" s="138">
        <v>44958</v>
      </c>
      <c r="Y17" s="136">
        <v>0.13500000000000001</v>
      </c>
      <c r="Z17" s="132">
        <v>1.3300000000000001E-2</v>
      </c>
    </row>
    <row r="18" spans="24:26" ht="16" x14ac:dyDescent="0.4">
      <c r="X18" s="139">
        <v>44986</v>
      </c>
      <c r="Y18" s="137">
        <v>0.13500000000000001</v>
      </c>
      <c r="Z18" s="133">
        <v>1.47E-2</v>
      </c>
    </row>
    <row r="19" spans="24:26" ht="16" x14ac:dyDescent="0.4">
      <c r="X19" s="138">
        <v>45017</v>
      </c>
      <c r="Y19" s="136">
        <v>0.15</v>
      </c>
      <c r="Z19" s="132">
        <v>1.47E-2</v>
      </c>
    </row>
    <row r="20" spans="24:26" ht="16" x14ac:dyDescent="0.4">
      <c r="X20" s="139">
        <v>45047</v>
      </c>
      <c r="Y20" s="137">
        <v>0.15</v>
      </c>
      <c r="Z20" s="133">
        <v>1.47E-2</v>
      </c>
    </row>
    <row r="21" spans="24:26" ht="16" x14ac:dyDescent="0.4">
      <c r="X21" s="138">
        <v>45078</v>
      </c>
      <c r="Y21" s="136">
        <v>0.15</v>
      </c>
      <c r="Z21" s="132">
        <v>1.38E-2</v>
      </c>
    </row>
    <row r="22" spans="24:26" ht="16" x14ac:dyDescent="0.4">
      <c r="X22" s="139">
        <v>45108</v>
      </c>
      <c r="Y22" s="137">
        <v>0.14000000000000001</v>
      </c>
      <c r="Z22" s="133">
        <v>1.18E-2</v>
      </c>
    </row>
    <row r="23" spans="24:26" ht="16" x14ac:dyDescent="0.4">
      <c r="X23" s="138">
        <v>45139</v>
      </c>
      <c r="Y23" s="136">
        <v>0.12</v>
      </c>
      <c r="Z23" s="132">
        <v>1.2E-2</v>
      </c>
    </row>
    <row r="24" spans="24:26" ht="16" x14ac:dyDescent="0.4">
      <c r="X24" s="139">
        <v>45170</v>
      </c>
      <c r="Y24" s="137">
        <v>0.12</v>
      </c>
      <c r="Z24" s="133">
        <v>1.18E-2</v>
      </c>
    </row>
    <row r="25" spans="24:26" ht="16" x14ac:dyDescent="0.4">
      <c r="X25" s="138">
        <v>45200</v>
      </c>
      <c r="Y25" s="136">
        <v>0.12</v>
      </c>
      <c r="Z25" s="134">
        <v>1.2307627734694333E-2</v>
      </c>
    </row>
    <row r="26" spans="24:26" ht="16" x14ac:dyDescent="0.4">
      <c r="X26" s="139">
        <v>45231</v>
      </c>
      <c r="Y26" s="137">
        <v>0.13</v>
      </c>
      <c r="Z26" s="140">
        <v>1.2307627734694333E-2</v>
      </c>
    </row>
    <row r="27" spans="24:26" ht="16" x14ac:dyDescent="0.4">
      <c r="X27" s="138">
        <v>45261</v>
      </c>
      <c r="Y27" s="136">
        <v>0.13</v>
      </c>
      <c r="Z27" s="134">
        <v>1.2307627734694333E-2</v>
      </c>
    </row>
    <row r="28" spans="24:26" ht="16" x14ac:dyDescent="0.4">
      <c r="X28" s="139">
        <v>45292</v>
      </c>
      <c r="Y28" s="137">
        <v>0.13</v>
      </c>
      <c r="Z28" s="140">
        <v>1.1823071526691046E-2</v>
      </c>
    </row>
    <row r="29" spans="24:26" ht="16" x14ac:dyDescent="0.4">
      <c r="X29" s="138">
        <v>45323</v>
      </c>
      <c r="Y29" s="136">
        <v>0.12</v>
      </c>
      <c r="Z29" s="134">
        <v>1.18E-2</v>
      </c>
    </row>
    <row r="30" spans="24:26" ht="16" x14ac:dyDescent="0.4">
      <c r="X30" s="139">
        <v>45352</v>
      </c>
      <c r="Y30" s="137">
        <v>0.12</v>
      </c>
      <c r="Z30" s="133">
        <v>1.17E-2</v>
      </c>
    </row>
    <row r="31" spans="24:26" ht="16" x14ac:dyDescent="0.4">
      <c r="X31" s="138">
        <v>45383</v>
      </c>
      <c r="Y31" s="136">
        <v>0.12</v>
      </c>
      <c r="Z31" s="132">
        <v>1.1900000000000001E-2</v>
      </c>
    </row>
    <row r="32" spans="24:26" ht="16" x14ac:dyDescent="0.4">
      <c r="X32" s="138">
        <v>45413</v>
      </c>
      <c r="Y32" s="136">
        <v>0.12</v>
      </c>
      <c r="Z32" s="132">
        <v>1.1900000000000001E-2</v>
      </c>
    </row>
    <row r="33" spans="24:26" ht="16" x14ac:dyDescent="0.4">
      <c r="X33" s="138">
        <v>45444</v>
      </c>
      <c r="Y33" s="136">
        <v>0.18</v>
      </c>
      <c r="Z33" s="132">
        <v>1.7999999999999999E-2</v>
      </c>
    </row>
    <row r="34" spans="24:26" ht="16" x14ac:dyDescent="0.4">
      <c r="X34" s="138">
        <v>45474</v>
      </c>
      <c r="Y34" s="136">
        <v>0.14000000000000001</v>
      </c>
      <c r="Z34" s="132">
        <v>1.34E-2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I28"/>
  <sheetViews>
    <sheetView showGridLines="0" zoomScale="63" zoomScaleNormal="63" workbookViewId="0">
      <selection activeCell="D28" sqref="D28"/>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90625" style="1" bestFit="1" customWidth="1"/>
    <col min="8" max="9" width="12.36328125" style="1" bestFit="1" customWidth="1"/>
    <col min="10" max="10" width="12.90625" style="1" customWidth="1"/>
    <col min="11" max="11" width="12.90625" style="1" bestFit="1" customWidth="1"/>
    <col min="12" max="13" width="12.36328125" style="1" bestFit="1" customWidth="1"/>
    <col min="14" max="14" width="12" style="1" bestFit="1" customWidth="1"/>
    <col min="15" max="15" width="12.36328125" style="1" bestFit="1" customWidth="1"/>
    <col min="16" max="19" width="12.90625" style="1" bestFit="1" customWidth="1"/>
    <col min="20" max="20" width="12.36328125" style="1" bestFit="1" customWidth="1"/>
    <col min="21" max="22" width="12" style="1" bestFit="1" customWidth="1"/>
    <col min="23" max="23" width="12.90625" style="1" customWidth="1"/>
    <col min="24" max="25" width="12.90625" style="1" bestFit="1" customWidth="1"/>
    <col min="26" max="26" width="12.36328125" style="1" bestFit="1" customWidth="1"/>
    <col min="27" max="27" width="12.90625" style="1" customWidth="1"/>
    <col min="28" max="28" width="12.90625" style="1" bestFit="1" customWidth="1"/>
    <col min="29" max="29" width="10.36328125" style="1" bestFit="1" customWidth="1"/>
    <col min="30" max="30" width="9.81640625" style="1" bestFit="1" customWidth="1"/>
    <col min="31" max="34" width="10.36328125" style="1" bestFit="1" customWidth="1"/>
    <col min="35" max="35" width="9.6328125" style="1" bestFit="1" customWidth="1"/>
    <col min="36" max="16384" width="8.81640625" style="1"/>
  </cols>
  <sheetData>
    <row r="1" spans="2:35" s="24" customFormat="1" x14ac:dyDescent="0.4">
      <c r="B1" s="52"/>
    </row>
    <row r="2" spans="2:35" s="24" customFormat="1" ht="33.65" customHeight="1" x14ac:dyDescent="0.4">
      <c r="B2" s="208" t="s">
        <v>113</v>
      </c>
      <c r="C2" s="208"/>
      <c r="D2" s="208"/>
    </row>
    <row r="3" spans="2:35" s="24" customFormat="1" ht="19.25" customHeight="1" x14ac:dyDescent="0.4">
      <c r="B3" s="52"/>
    </row>
    <row r="4" spans="2:35" ht="28.75" customHeight="1" x14ac:dyDescent="0.4"/>
    <row r="5" spans="2:35" x14ac:dyDescent="0.4">
      <c r="B5" s="215" t="s">
        <v>94</v>
      </c>
      <c r="C5" s="215"/>
      <c r="D5" s="215"/>
      <c r="F5" s="46"/>
      <c r="G5" s="120">
        <v>45474</v>
      </c>
      <c r="H5" s="120">
        <v>45444</v>
      </c>
      <c r="I5" s="120">
        <v>45413</v>
      </c>
      <c r="J5" s="120">
        <v>45383</v>
      </c>
      <c r="K5" s="120">
        <v>45352</v>
      </c>
      <c r="L5" s="120">
        <v>45323</v>
      </c>
      <c r="M5" s="120">
        <v>45292</v>
      </c>
      <c r="N5" s="120">
        <v>45261</v>
      </c>
      <c r="O5" s="120">
        <v>45231</v>
      </c>
      <c r="P5" s="120">
        <v>45200</v>
      </c>
      <c r="Q5" s="120">
        <v>45170</v>
      </c>
      <c r="R5" s="120">
        <v>45139</v>
      </c>
      <c r="S5" s="120">
        <v>45108</v>
      </c>
      <c r="T5" s="120">
        <v>45078</v>
      </c>
      <c r="U5" s="120">
        <v>45047</v>
      </c>
      <c r="V5" s="120">
        <v>45017</v>
      </c>
      <c r="W5" s="120">
        <v>44986</v>
      </c>
      <c r="X5" s="120">
        <v>44958</v>
      </c>
      <c r="Y5" s="120">
        <v>44927</v>
      </c>
      <c r="Z5" s="120">
        <v>44896</v>
      </c>
      <c r="AA5" s="120">
        <v>44866</v>
      </c>
      <c r="AB5" s="120">
        <v>44835</v>
      </c>
      <c r="AC5" s="120">
        <v>44805</v>
      </c>
      <c r="AD5" s="120">
        <v>44774</v>
      </c>
      <c r="AE5" s="120">
        <v>44743</v>
      </c>
      <c r="AF5" s="120">
        <v>44713</v>
      </c>
      <c r="AG5" s="120">
        <v>44682</v>
      </c>
      <c r="AH5" s="120">
        <v>44652</v>
      </c>
      <c r="AI5" s="120">
        <v>44621</v>
      </c>
    </row>
    <row r="6" spans="2:35" ht="18" customHeight="1" x14ac:dyDescent="0.4">
      <c r="B6" s="110" t="s">
        <v>91</v>
      </c>
      <c r="C6" s="115" t="s">
        <v>95</v>
      </c>
      <c r="D6" s="110" t="s">
        <v>96</v>
      </c>
      <c r="F6" s="121" t="s">
        <v>97</v>
      </c>
      <c r="G6" s="53">
        <v>10.084053314213804</v>
      </c>
      <c r="H6" s="53">
        <v>10.025908818475084</v>
      </c>
      <c r="I6" s="53">
        <v>10.119999999999999</v>
      </c>
      <c r="J6" s="53">
        <v>10.101000000000001</v>
      </c>
      <c r="K6" s="53">
        <v>10.141999999999999</v>
      </c>
      <c r="L6" s="53">
        <v>10.127000000000001</v>
      </c>
      <c r="M6" s="53">
        <v>10.15</v>
      </c>
      <c r="N6" s="53">
        <v>10.147</v>
      </c>
      <c r="O6" s="53">
        <v>10.16</v>
      </c>
      <c r="P6" s="53">
        <v>10.156000000000001</v>
      </c>
      <c r="Q6" s="53">
        <v>10.151</v>
      </c>
      <c r="R6" s="53">
        <v>10.146000000000001</v>
      </c>
      <c r="S6" s="53">
        <v>10.135999999999999</v>
      </c>
      <c r="T6" s="53">
        <v>10.156000000000001</v>
      </c>
      <c r="U6" s="53">
        <v>10.231999999999999</v>
      </c>
      <c r="V6" s="53">
        <v>10.178000000000001</v>
      </c>
      <c r="W6" s="53">
        <v>10.215</v>
      </c>
      <c r="X6" s="53">
        <v>10.204000000000001</v>
      </c>
      <c r="Y6" s="53">
        <v>10.212</v>
      </c>
      <c r="Z6" s="53">
        <v>10.352</v>
      </c>
      <c r="AA6" s="53">
        <v>9.9190000000000005</v>
      </c>
      <c r="AB6" s="53">
        <v>9.9359999999999999</v>
      </c>
      <c r="AC6" s="53">
        <v>10.06</v>
      </c>
      <c r="AD6" s="53">
        <v>10.006</v>
      </c>
      <c r="AE6" s="53">
        <v>10.005000000000001</v>
      </c>
      <c r="AF6" s="53">
        <v>10.003</v>
      </c>
      <c r="AG6" s="53">
        <v>10.007999999999999</v>
      </c>
      <c r="AH6" s="53">
        <v>10.004</v>
      </c>
      <c r="AI6" s="53">
        <v>9.9380000000000006</v>
      </c>
    </row>
    <row r="7" spans="2:35" x14ac:dyDescent="0.4">
      <c r="B7" s="111">
        <v>44835</v>
      </c>
      <c r="C7" s="116">
        <v>98</v>
      </c>
      <c r="D7" s="112">
        <v>505365.76000000001</v>
      </c>
      <c r="F7" s="121" t="s">
        <v>98</v>
      </c>
      <c r="G7" s="54">
        <v>10.54</v>
      </c>
      <c r="H7" s="54">
        <v>10.35999965667725</v>
      </c>
      <c r="I7" s="54">
        <v>10.25</v>
      </c>
      <c r="J7" s="54">
        <v>10.1</v>
      </c>
      <c r="K7" s="54">
        <v>10.029999999999999</v>
      </c>
      <c r="L7" s="54">
        <v>10</v>
      </c>
      <c r="M7" s="54">
        <v>10.1</v>
      </c>
      <c r="N7" s="54">
        <v>10.18</v>
      </c>
      <c r="O7" s="54">
        <v>9.8800000000000008</v>
      </c>
      <c r="P7" s="54">
        <v>10.14</v>
      </c>
      <c r="Q7" s="54">
        <v>10.09</v>
      </c>
      <c r="R7" s="54">
        <v>10.26</v>
      </c>
      <c r="S7" s="54">
        <v>10.47</v>
      </c>
      <c r="T7" s="54">
        <v>10.25</v>
      </c>
      <c r="U7" s="54">
        <v>10.18</v>
      </c>
      <c r="V7" s="54">
        <v>9.6999999999999993</v>
      </c>
      <c r="W7" s="54">
        <v>9.9700000000000006</v>
      </c>
      <c r="X7" s="54">
        <v>10.27</v>
      </c>
      <c r="Y7" s="54">
        <v>10.5</v>
      </c>
      <c r="Z7" s="54">
        <v>10.8</v>
      </c>
      <c r="AA7" s="54">
        <v>10.119999999999999</v>
      </c>
      <c r="AB7" s="54">
        <v>10.49</v>
      </c>
      <c r="AC7" s="51"/>
      <c r="AD7" s="51"/>
      <c r="AE7" s="51"/>
      <c r="AF7" s="51"/>
      <c r="AG7" s="51"/>
      <c r="AH7" s="51"/>
      <c r="AI7" s="51"/>
    </row>
    <row r="8" spans="2:35" x14ac:dyDescent="0.4">
      <c r="B8" s="113">
        <v>44866</v>
      </c>
      <c r="C8" s="117">
        <v>1092</v>
      </c>
      <c r="D8" s="114">
        <v>1007357.79</v>
      </c>
      <c r="F8" s="2"/>
      <c r="G8" s="2"/>
      <c r="H8" s="2"/>
    </row>
    <row r="9" spans="2:35" x14ac:dyDescent="0.4">
      <c r="B9" s="111">
        <v>44896</v>
      </c>
      <c r="C9" s="116">
        <v>436</v>
      </c>
      <c r="D9" s="112">
        <v>407368.71</v>
      </c>
    </row>
    <row r="10" spans="2:35" x14ac:dyDescent="0.4">
      <c r="B10" s="113">
        <v>44927</v>
      </c>
      <c r="C10" s="118">
        <v>428</v>
      </c>
      <c r="D10" s="114">
        <v>8422438.2899999991</v>
      </c>
      <c r="F10" s="3"/>
      <c r="G10" s="3"/>
      <c r="H10" s="3"/>
    </row>
    <row r="11" spans="2:35" x14ac:dyDescent="0.4">
      <c r="B11" s="111">
        <v>44958</v>
      </c>
      <c r="C11" s="116">
        <v>469</v>
      </c>
      <c r="D11" s="112">
        <v>234280.07</v>
      </c>
    </row>
    <row r="12" spans="2:35" x14ac:dyDescent="0.4">
      <c r="B12" s="113">
        <v>44986</v>
      </c>
      <c r="C12" s="117">
        <v>1186</v>
      </c>
      <c r="D12" s="114">
        <v>471466.68</v>
      </c>
    </row>
    <row r="13" spans="2:35" x14ac:dyDescent="0.4">
      <c r="B13" s="111">
        <v>45017</v>
      </c>
      <c r="C13" s="119">
        <v>2627</v>
      </c>
      <c r="D13" s="112">
        <v>2434667</v>
      </c>
    </row>
    <row r="14" spans="2:35" x14ac:dyDescent="0.4">
      <c r="B14" s="113">
        <v>45047</v>
      </c>
      <c r="C14" s="117">
        <v>10622</v>
      </c>
      <c r="D14" s="114">
        <v>3207443.76</v>
      </c>
    </row>
    <row r="15" spans="2:35" x14ac:dyDescent="0.4">
      <c r="B15" s="111">
        <v>45078</v>
      </c>
      <c r="C15" s="119">
        <v>9923</v>
      </c>
      <c r="D15" s="112">
        <v>7051253.3700000001</v>
      </c>
    </row>
    <row r="16" spans="2:35"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1">
        <v>45413</v>
      </c>
      <c r="C26" s="119">
        <v>11930</v>
      </c>
      <c r="D26" s="112">
        <v>12975314.42</v>
      </c>
    </row>
    <row r="27" spans="2:4" x14ac:dyDescent="0.4">
      <c r="B27" s="111">
        <v>45444</v>
      </c>
      <c r="C27" s="119">
        <v>17217</v>
      </c>
      <c r="D27" s="112">
        <v>5555459.8300000001</v>
      </c>
    </row>
    <row r="28" spans="2:4" x14ac:dyDescent="0.4">
      <c r="B28" s="111">
        <v>45474</v>
      </c>
      <c r="C28" s="119">
        <v>20207</v>
      </c>
      <c r="D28" s="112">
        <v>6218191.9900000002</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17" t="s">
        <v>100</v>
      </c>
      <c r="C2" s="218"/>
      <c r="D2" s="218"/>
    </row>
    <row r="3" spans="2:19" s="45" customFormat="1" x14ac:dyDescent="0.35">
      <c r="B3" s="218"/>
      <c r="C3" s="218"/>
      <c r="D3" s="218"/>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16" t="s">
        <v>99</v>
      </c>
      <c r="C6" s="216"/>
      <c r="D6" s="1"/>
      <c r="E6" s="108"/>
      <c r="F6" s="1"/>
      <c r="G6" s="1"/>
      <c r="H6" s="1"/>
      <c r="I6" s="1"/>
      <c r="J6" s="1"/>
      <c r="K6" s="1"/>
      <c r="L6" s="1"/>
      <c r="M6" s="1"/>
      <c r="N6" s="1"/>
      <c r="O6" s="1"/>
      <c r="P6" s="1"/>
    </row>
    <row r="7" spans="2:19" ht="28.75" customHeight="1" x14ac:dyDescent="0.4">
      <c r="B7" s="122" t="s">
        <v>91</v>
      </c>
      <c r="C7" s="123" t="s">
        <v>100</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35" spans="2:16" ht="18.5" x14ac:dyDescent="0.5">
      <c r="B35" s="127">
        <v>45444</v>
      </c>
      <c r="C35" s="124">
        <v>9792</v>
      </c>
    </row>
    <row r="36" spans="2:16" ht="18.5" x14ac:dyDescent="0.5">
      <c r="B36" s="127">
        <v>45474</v>
      </c>
      <c r="C36" s="124">
        <v>10783</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B1:BB97"/>
  <sheetViews>
    <sheetView showGridLines="0" zoomScale="70" zoomScaleNormal="70" workbookViewId="0">
      <selection activeCell="A8" sqref="A8"/>
    </sheetView>
  </sheetViews>
  <sheetFormatPr defaultColWidth="8.81640625" defaultRowHeight="16" x14ac:dyDescent="0.4"/>
  <cols>
    <col min="1" max="1" width="8.81640625" style="1"/>
    <col min="2" max="2" width="48.26953125" style="1" bestFit="1" customWidth="1"/>
    <col min="3" max="3" width="14.81640625" style="2" customWidth="1"/>
    <col min="4" max="4" width="15.81640625" style="2" customWidth="1"/>
    <col min="5" max="5" width="14.81640625" style="2" customWidth="1"/>
    <col min="6" max="6" width="15.81640625" style="1" customWidth="1"/>
    <col min="7" max="7" width="19.1796875" style="1" customWidth="1"/>
    <col min="8" max="12" width="15.81640625" style="1" customWidth="1"/>
    <col min="13" max="23" width="16.81640625" style="1" customWidth="1"/>
    <col min="24" max="24" width="15.81640625" style="1" bestFit="1" customWidth="1"/>
    <col min="25" max="25" width="15" style="1" bestFit="1" customWidth="1"/>
    <col min="26" max="26" width="16" style="1" bestFit="1" customWidth="1"/>
    <col min="27" max="27" width="15.90625" style="1" bestFit="1" customWidth="1"/>
    <col min="28" max="30" width="16.81640625" style="1" bestFit="1" customWidth="1"/>
    <col min="31" max="31" width="16.81640625" style="1" customWidth="1"/>
    <col min="32" max="32" width="15.81640625" style="1" bestFit="1" customWidth="1"/>
    <col min="33" max="36" width="16" style="1" bestFit="1" customWidth="1"/>
    <col min="37" max="37" width="15.54296875" style="1" bestFit="1" customWidth="1"/>
    <col min="38" max="38" width="13.81640625" style="1" bestFit="1" customWidth="1"/>
    <col min="39" max="39" width="12.81640625" style="1" bestFit="1" customWidth="1"/>
    <col min="40" max="40" width="8.81640625" style="1"/>
    <col min="41" max="41" width="17.81640625" style="1" bestFit="1" customWidth="1"/>
    <col min="42" max="42" width="24" style="1" bestFit="1" customWidth="1"/>
    <col min="43" max="43" width="11.1796875" style="1" bestFit="1" customWidth="1"/>
    <col min="44" max="45" width="8.81640625" style="1"/>
    <col min="46" max="46" width="11.54296875" style="1" bestFit="1" customWidth="1"/>
    <col min="47" max="16384" width="8.81640625" style="1"/>
  </cols>
  <sheetData>
    <row r="1" spans="2:44" s="45" customFormat="1" ht="13.5" customHeight="1" x14ac:dyDescent="0.35"/>
    <row r="2" spans="2:44" s="45" customFormat="1" ht="14.5" x14ac:dyDescent="0.35">
      <c r="B2" s="217" t="s">
        <v>169</v>
      </c>
      <c r="C2" s="218"/>
      <c r="D2" s="218"/>
    </row>
    <row r="3" spans="2:44" s="45" customFormat="1" ht="14.5" x14ac:dyDescent="0.35">
      <c r="B3" s="218"/>
      <c r="C3" s="218"/>
      <c r="D3" s="218"/>
    </row>
    <row r="4" spans="2:44" s="45" customFormat="1" ht="14.4" customHeight="1" thickBot="1" x14ac:dyDescent="0.4">
      <c r="E4" s="106"/>
    </row>
    <row r="5" spans="2:44" ht="16.5" thickBot="1" x14ac:dyDescent="0.45">
      <c r="B5" s="205" t="s">
        <v>186</v>
      </c>
      <c r="C5" s="206">
        <v>44621</v>
      </c>
      <c r="D5" s="206" t="s">
        <v>187</v>
      </c>
      <c r="E5" s="206" t="s">
        <v>188</v>
      </c>
      <c r="F5" s="206">
        <v>44713</v>
      </c>
      <c r="G5" s="206">
        <v>44743</v>
      </c>
      <c r="H5" s="206">
        <v>44774</v>
      </c>
      <c r="I5" s="206">
        <v>44805</v>
      </c>
      <c r="J5" s="206">
        <v>44835</v>
      </c>
      <c r="K5" s="206">
        <v>44866</v>
      </c>
      <c r="L5" s="206">
        <v>44896</v>
      </c>
      <c r="M5" s="206">
        <v>44927</v>
      </c>
      <c r="N5" s="206">
        <v>44958</v>
      </c>
      <c r="O5" s="206">
        <v>44986</v>
      </c>
      <c r="P5" s="206">
        <v>45017</v>
      </c>
      <c r="Q5" s="206">
        <v>45047</v>
      </c>
      <c r="R5" s="206">
        <v>45078</v>
      </c>
      <c r="S5" s="206">
        <v>45108</v>
      </c>
      <c r="T5" s="206" t="s">
        <v>189</v>
      </c>
      <c r="U5" s="206" t="s">
        <v>190</v>
      </c>
      <c r="V5" s="206" t="s">
        <v>191</v>
      </c>
      <c r="W5" s="206" t="s">
        <v>192</v>
      </c>
      <c r="X5" s="206" t="s">
        <v>193</v>
      </c>
      <c r="Y5" s="206" t="s">
        <v>194</v>
      </c>
      <c r="Z5" s="206" t="s">
        <v>195</v>
      </c>
      <c r="AA5" s="206" t="s">
        <v>196</v>
      </c>
      <c r="AB5" s="206" t="s">
        <v>197</v>
      </c>
      <c r="AC5" s="206" t="s">
        <v>198</v>
      </c>
      <c r="AD5" s="206">
        <v>45444</v>
      </c>
      <c r="AE5" s="206">
        <v>45474</v>
      </c>
      <c r="AF5" s="207" t="s">
        <v>199</v>
      </c>
      <c r="AG5"/>
      <c r="AH5"/>
      <c r="AI5"/>
      <c r="AJ5"/>
      <c r="AK5"/>
      <c r="AL5"/>
      <c r="AM5"/>
      <c r="AN5"/>
      <c r="AO5"/>
      <c r="AP5"/>
      <c r="AQ5"/>
      <c r="AR5"/>
    </row>
    <row r="6" spans="2:44" s="3" customFormat="1" ht="16.5" thickBot="1" x14ac:dyDescent="0.45">
      <c r="B6" s="182" t="s">
        <v>200</v>
      </c>
      <c r="C6" s="183">
        <f t="shared" ref="C6:H6" si="0">+C7+C9+C12+C15</f>
        <v>1407.27</v>
      </c>
      <c r="D6" s="183">
        <f t="shared" si="0"/>
        <v>626928.26</v>
      </c>
      <c r="E6" s="183">
        <f t="shared" si="0"/>
        <v>791046.40706999903</v>
      </c>
      <c r="F6" s="183">
        <f t="shared" si="0"/>
        <v>863508.2600000262</v>
      </c>
      <c r="G6" s="183">
        <f t="shared" si="0"/>
        <v>880527.29738989798</v>
      </c>
      <c r="H6" s="183">
        <f t="shared" si="0"/>
        <v>891358.33751729794</v>
      </c>
      <c r="I6" s="183">
        <f t="shared" ref="I6:AC6" si="1">+I7+I9+I12+I15+I14</f>
        <v>1745994.9618711388</v>
      </c>
      <c r="J6" s="183">
        <f t="shared" si="1"/>
        <v>1327691.9650378202</v>
      </c>
      <c r="K6" s="183">
        <f t="shared" si="1"/>
        <v>1497662.186939999</v>
      </c>
      <c r="L6" s="183">
        <f t="shared" si="1"/>
        <v>2093293.8962800074</v>
      </c>
      <c r="M6" s="183">
        <f t="shared" si="1"/>
        <v>3092122.1305083991</v>
      </c>
      <c r="N6" s="183">
        <f t="shared" si="1"/>
        <v>2622478.5099999998</v>
      </c>
      <c r="O6" s="183">
        <f t="shared" si="1"/>
        <v>2945970.6643110993</v>
      </c>
      <c r="P6" s="183">
        <f t="shared" si="1"/>
        <v>2538480.9700498823</v>
      </c>
      <c r="Q6" s="183">
        <f t="shared" si="1"/>
        <v>3692826.1061908011</v>
      </c>
      <c r="R6" s="183">
        <f t="shared" si="1"/>
        <v>2881383.7800000003</v>
      </c>
      <c r="S6" s="183">
        <f t="shared" si="1"/>
        <v>3133909.4800000112</v>
      </c>
      <c r="T6" s="183">
        <f t="shared" si="1"/>
        <v>3445289.3099999996</v>
      </c>
      <c r="U6" s="183">
        <f t="shared" si="1"/>
        <v>3246551.7680496592</v>
      </c>
      <c r="V6" s="183">
        <f t="shared" si="1"/>
        <v>3544977.6049855361</v>
      </c>
      <c r="W6" s="183">
        <f t="shared" si="1"/>
        <v>3633641.3499999996</v>
      </c>
      <c r="X6" s="183">
        <f t="shared" si="1"/>
        <v>2463328.2748716222</v>
      </c>
      <c r="Y6" s="183">
        <f t="shared" si="1"/>
        <v>3035390.6146319644</v>
      </c>
      <c r="Z6" s="183">
        <f t="shared" si="1"/>
        <v>2938430.9560000002</v>
      </c>
      <c r="AA6" s="183">
        <f t="shared" si="1"/>
        <v>3142095.8117758296</v>
      </c>
      <c r="AB6" s="183">
        <f t="shared" si="1"/>
        <v>3068516.2472921521</v>
      </c>
      <c r="AC6" s="183">
        <f t="shared" si="1"/>
        <v>3718001.1889875983</v>
      </c>
      <c r="AD6" s="183">
        <f>+AD7+AD9+AD12+AD15+AD14</f>
        <v>2342822.2045487654</v>
      </c>
      <c r="AE6" s="183">
        <f>+AE7+AE9+AE12+AE15+AE14</f>
        <v>4273744.9053616961</v>
      </c>
      <c r="AF6" s="184">
        <f t="shared" ref="AF6:AF11" si="2">SUM(C6:AE6)</f>
        <v>70479380.71967122</v>
      </c>
      <c r="AG6"/>
      <c r="AH6"/>
      <c r="AI6"/>
      <c r="AJ6"/>
      <c r="AK6"/>
      <c r="AL6"/>
      <c r="AM6"/>
      <c r="AN6"/>
      <c r="AO6"/>
      <c r="AP6"/>
      <c r="AQ6"/>
      <c r="AR6"/>
    </row>
    <row r="7" spans="2:44" ht="16.5" thickBot="1" x14ac:dyDescent="0.45">
      <c r="B7" s="186" t="s">
        <v>201</v>
      </c>
      <c r="C7" s="187">
        <f t="shared" ref="C7:W7" si="3">+SUM(C8:C8)</f>
        <v>0</v>
      </c>
      <c r="D7" s="187">
        <f t="shared" si="3"/>
        <v>559667.64</v>
      </c>
      <c r="E7" s="187">
        <f t="shared" si="3"/>
        <v>367264.86</v>
      </c>
      <c r="F7" s="187">
        <f t="shared" si="3"/>
        <v>268732.93</v>
      </c>
      <c r="G7" s="187">
        <f t="shared" si="3"/>
        <v>294695.51748733153</v>
      </c>
      <c r="H7" s="187">
        <f t="shared" si="3"/>
        <v>161664.34045454097</v>
      </c>
      <c r="I7" s="187">
        <f t="shared" si="3"/>
        <v>731519.07097020652</v>
      </c>
      <c r="J7" s="187">
        <f t="shared" si="3"/>
        <v>537280.73794927145</v>
      </c>
      <c r="K7" s="187">
        <f t="shared" si="3"/>
        <v>625107.90382557723</v>
      </c>
      <c r="L7" s="187">
        <f t="shared" si="3"/>
        <v>9695.0499999999993</v>
      </c>
      <c r="M7" s="187">
        <f t="shared" si="3"/>
        <v>1095440.4706203211</v>
      </c>
      <c r="N7" s="187">
        <f t="shared" si="3"/>
        <v>537104.37120000005</v>
      </c>
      <c r="O7" s="187">
        <f t="shared" si="3"/>
        <v>579130.88</v>
      </c>
      <c r="P7" s="187">
        <f t="shared" si="3"/>
        <v>242076.46917040099</v>
      </c>
      <c r="Q7" s="187">
        <f t="shared" si="3"/>
        <v>1278914.3807999999</v>
      </c>
      <c r="R7" s="187">
        <f t="shared" si="3"/>
        <v>446522.92120000004</v>
      </c>
      <c r="S7" s="187">
        <f t="shared" si="3"/>
        <v>592080</v>
      </c>
      <c r="T7" s="187">
        <f t="shared" si="3"/>
        <v>845541.04</v>
      </c>
      <c r="U7" s="187">
        <f t="shared" si="3"/>
        <v>591980.38</v>
      </c>
      <c r="V7" s="187">
        <f t="shared" si="3"/>
        <v>771885</v>
      </c>
      <c r="W7" s="187">
        <f t="shared" si="3"/>
        <v>937829.82</v>
      </c>
      <c r="X7" s="187">
        <f t="shared" ref="X7:AD7" si="4">+SUM(X8:X8)</f>
        <v>0</v>
      </c>
      <c r="Y7" s="187">
        <f t="shared" si="4"/>
        <v>620000</v>
      </c>
      <c r="Z7" s="187">
        <f t="shared" si="4"/>
        <v>550000</v>
      </c>
      <c r="AA7" s="187">
        <f t="shared" si="4"/>
        <v>610000</v>
      </c>
      <c r="AB7" s="187">
        <f t="shared" si="4"/>
        <v>960000</v>
      </c>
      <c r="AC7" s="187">
        <f t="shared" si="4"/>
        <v>610000</v>
      </c>
      <c r="AD7" s="187">
        <f t="shared" si="4"/>
        <v>0</v>
      </c>
      <c r="AE7" s="187">
        <f>+SUM(AE8:AE8)</f>
        <v>2100000</v>
      </c>
      <c r="AF7" s="184">
        <f t="shared" si="2"/>
        <v>16924133.783677652</v>
      </c>
      <c r="AG7"/>
      <c r="AH7"/>
      <c r="AI7"/>
      <c r="AJ7"/>
      <c r="AK7"/>
      <c r="AL7"/>
      <c r="AM7"/>
      <c r="AN7"/>
      <c r="AO7"/>
      <c r="AP7"/>
      <c r="AQ7"/>
      <c r="AR7"/>
    </row>
    <row r="8" spans="2:44" ht="16.5" thickBot="1" x14ac:dyDescent="0.45">
      <c r="B8" s="189" t="s">
        <v>116</v>
      </c>
      <c r="C8" s="190">
        <v>0</v>
      </c>
      <c r="D8" s="190">
        <v>559667.64</v>
      </c>
      <c r="E8" s="190">
        <f>430000-E13</f>
        <v>367264.86</v>
      </c>
      <c r="F8" s="190">
        <f>393687.92-F13</f>
        <v>268732.93</v>
      </c>
      <c r="G8" s="190">
        <f>428000-G13</f>
        <v>294695.51748733153</v>
      </c>
      <c r="H8" s="190">
        <f>241167.18+57488.17-H13</f>
        <v>161664.34045454097</v>
      </c>
      <c r="I8" s="190">
        <f>861902.8-I13</f>
        <v>731519.07097020652</v>
      </c>
      <c r="J8" s="190">
        <f>614375.45-J13</f>
        <v>537280.73794927145</v>
      </c>
      <c r="K8" s="190">
        <f>316840.28+370000-61732.3761744228</f>
        <v>625107.90382557723</v>
      </c>
      <c r="L8" s="190">
        <v>9695.0499999999993</v>
      </c>
      <c r="M8" s="190">
        <f>350000+550000+110000+190000-M13</f>
        <v>1095440.4706203211</v>
      </c>
      <c r="N8" s="190">
        <f>281000+367000-N13</f>
        <v>537104.37120000005</v>
      </c>
      <c r="O8" s="190">
        <f>400000+334000-O13</f>
        <v>579130.88</v>
      </c>
      <c r="P8" s="190">
        <f>310072.1-P13</f>
        <v>242076.46917040099</v>
      </c>
      <c r="Q8" s="190">
        <f>793000+238000+303400-Q13</f>
        <v>1278914.3807999999</v>
      </c>
      <c r="R8" s="190">
        <f>547518.55-R13</f>
        <v>446522.92120000004</v>
      </c>
      <c r="S8" s="190">
        <f>592080</f>
        <v>592080</v>
      </c>
      <c r="T8" s="190">
        <v>845541.04</v>
      </c>
      <c r="U8" s="190">
        <v>591980.38</v>
      </c>
      <c r="V8" s="190">
        <v>771885</v>
      </c>
      <c r="W8" s="190">
        <v>937829.82</v>
      </c>
      <c r="X8" s="190">
        <v>0</v>
      </c>
      <c r="Y8" s="190">
        <v>620000</v>
      </c>
      <c r="Z8" s="190">
        <v>550000</v>
      </c>
      <c r="AA8" s="190">
        <v>610000</v>
      </c>
      <c r="AB8" s="190">
        <v>960000</v>
      </c>
      <c r="AC8" s="190">
        <v>610000</v>
      </c>
      <c r="AD8" s="190">
        <v>0</v>
      </c>
      <c r="AE8" s="190">
        <v>2100000</v>
      </c>
      <c r="AF8" s="184">
        <f t="shared" si="2"/>
        <v>16924133.783677652</v>
      </c>
      <c r="AG8"/>
      <c r="AH8"/>
      <c r="AI8"/>
      <c r="AJ8"/>
      <c r="AK8"/>
      <c r="AL8"/>
      <c r="AM8"/>
      <c r="AN8"/>
      <c r="AO8"/>
      <c r="AP8"/>
      <c r="AQ8"/>
      <c r="AR8"/>
    </row>
    <row r="9" spans="2:44" ht="16.5" thickBot="1" x14ac:dyDescent="0.45">
      <c r="B9" s="186" t="s">
        <v>117</v>
      </c>
      <c r="C9" s="187">
        <f t="shared" ref="C9:P9" si="5">+SUM(C10:C11)</f>
        <v>0</v>
      </c>
      <c r="D9" s="187">
        <f t="shared" si="5"/>
        <v>54297.32</v>
      </c>
      <c r="E9" s="187">
        <f t="shared" si="5"/>
        <v>332603.26706999901</v>
      </c>
      <c r="F9" s="187">
        <f t="shared" si="5"/>
        <v>445806.66</v>
      </c>
      <c r="G9" s="187">
        <f t="shared" si="5"/>
        <v>392943.39738992066</v>
      </c>
      <c r="H9" s="187">
        <f t="shared" si="5"/>
        <v>532271.12101730006</v>
      </c>
      <c r="I9" s="187">
        <f t="shared" si="5"/>
        <v>457205.60258031072</v>
      </c>
      <c r="J9" s="187">
        <f t="shared" si="5"/>
        <v>559077.40717783081</v>
      </c>
      <c r="K9" s="187">
        <f t="shared" si="5"/>
        <v>657670.28693999897</v>
      </c>
      <c r="L9" s="187">
        <f t="shared" si="5"/>
        <v>902905.00999999989</v>
      </c>
      <c r="M9" s="187">
        <f t="shared" si="5"/>
        <v>1238069.4277584874</v>
      </c>
      <c r="N9" s="187">
        <f t="shared" si="5"/>
        <v>1242899.3999999999</v>
      </c>
      <c r="O9" s="187">
        <f t="shared" si="5"/>
        <v>1551049.594311099</v>
      </c>
      <c r="P9" s="187">
        <f t="shared" si="5"/>
        <v>1563721.3737698814</v>
      </c>
      <c r="Q9" s="187">
        <f t="shared" ref="Q9:W9" si="6">+SUM(Q10:Q11)</f>
        <v>1870604.5528008011</v>
      </c>
      <c r="R9" s="187">
        <f t="shared" si="6"/>
        <v>1679011.9800000002</v>
      </c>
      <c r="S9" s="187">
        <f t="shared" si="6"/>
        <v>1693594.4800000004</v>
      </c>
      <c r="T9" s="187">
        <f t="shared" si="6"/>
        <v>1794156.5099999998</v>
      </c>
      <c r="U9" s="187">
        <f t="shared" si="6"/>
        <v>1736837.1780496589</v>
      </c>
      <c r="V9" s="187">
        <f t="shared" si="6"/>
        <v>2034140.5449855363</v>
      </c>
      <c r="W9" s="187">
        <f t="shared" si="6"/>
        <v>1977917.2199999997</v>
      </c>
      <c r="X9" s="187">
        <f t="shared" ref="X9:AC9" si="7">+SUM(X10:X11)</f>
        <v>1943361.144871623</v>
      </c>
      <c r="Y9" s="187">
        <f t="shared" si="7"/>
        <v>1669282.4926319644</v>
      </c>
      <c r="Z9" s="187">
        <f t="shared" si="7"/>
        <v>1928263.74</v>
      </c>
      <c r="AA9" s="187">
        <f t="shared" si="7"/>
        <v>1809450.7679886343</v>
      </c>
      <c r="AB9" s="187">
        <f t="shared" si="7"/>
        <v>1682408.4282821501</v>
      </c>
      <c r="AC9" s="187">
        <f t="shared" si="7"/>
        <v>2323854.3000000003</v>
      </c>
      <c r="AD9" s="187">
        <f>+SUM(AD10:AD11)</f>
        <v>1541665.0923087683</v>
      </c>
      <c r="AE9" s="187">
        <f>+SUM(AE10:AE11)</f>
        <v>2023452.9848416976</v>
      </c>
      <c r="AF9" s="184">
        <f t="shared" si="2"/>
        <v>37638521.284775652</v>
      </c>
      <c r="AG9"/>
      <c r="AH9"/>
      <c r="AI9"/>
      <c r="AJ9"/>
      <c r="AK9"/>
      <c r="AL9"/>
      <c r="AM9"/>
      <c r="AN9"/>
      <c r="AO9"/>
      <c r="AP9"/>
      <c r="AQ9"/>
      <c r="AR9"/>
    </row>
    <row r="10" spans="2:44" ht="16.5" thickBot="1" x14ac:dyDescent="0.45">
      <c r="B10" s="189" t="s">
        <v>118</v>
      </c>
      <c r="C10" s="190">
        <v>0</v>
      </c>
      <c r="D10" s="190">
        <v>0</v>
      </c>
      <c r="E10" s="190">
        <v>87917.26</v>
      </c>
      <c r="F10" s="190">
        <v>256299.11</v>
      </c>
      <c r="G10" s="190">
        <v>286467.82738992001</v>
      </c>
      <c r="H10" s="190">
        <f>292845.3+96936.68</f>
        <v>389781.98</v>
      </c>
      <c r="I10" s="190">
        <f>119303.55+68728.15+98872.01+78932.79+48468.4</f>
        <v>414304.9</v>
      </c>
      <c r="J10" s="190">
        <f>530060.41</f>
        <v>530060.41</v>
      </c>
      <c r="K10" s="190">
        <f>87407.19+108408.94+105214.97+1100.38+93911.79+70053.05+105383.36</f>
        <v>571479.67999999993</v>
      </c>
      <c r="L10" s="190">
        <f>10255.9+114526.85+101944.28+81916.44+96039.84+101791.19+84561.28+13235.08</f>
        <v>604270.85999999987</v>
      </c>
      <c r="M10" s="190">
        <f>87086.8+219878.74+95269.25+115722.88+104998.3+27282.28+104670.49+48061.19+117786.3</f>
        <v>920756.23</v>
      </c>
      <c r="N10" s="190">
        <f>220865.36+133535.85+152695.83+94832.86+66294.1+86315.22+86311.87+48068.99+105015.36+15883.79</f>
        <v>1009819.2299999999</v>
      </c>
      <c r="O10" s="190">
        <f>120432.96+181192.67+394416.8+17506.42+94653.88+43288.64+77520.09</f>
        <v>929011.46</v>
      </c>
      <c r="P10" s="190">
        <v>1177407.46</v>
      </c>
      <c r="Q10" s="190">
        <v>1161219.6600000004</v>
      </c>
      <c r="R10" s="190">
        <v>1305553.4800000002</v>
      </c>
      <c r="S10" s="190">
        <v>1575739.1300000004</v>
      </c>
      <c r="T10" s="190">
        <v>1689848.9399999997</v>
      </c>
      <c r="U10" s="190">
        <v>1694833.74</v>
      </c>
      <c r="V10" s="190">
        <v>1698552.63</v>
      </c>
      <c r="W10" s="190">
        <v>1739362.0799999998</v>
      </c>
      <c r="X10" s="190">
        <v>1830229.52</v>
      </c>
      <c r="Y10" s="190">
        <v>1462758.20741235</v>
      </c>
      <c r="Z10" s="190">
        <v>1440022.97</v>
      </c>
      <c r="AA10" s="190">
        <v>1485753.9579223001</v>
      </c>
      <c r="AB10" s="190">
        <v>1445771.5082821501</v>
      </c>
      <c r="AC10" s="190">
        <v>2286803.9500000002</v>
      </c>
      <c r="AD10" s="190">
        <v>1463457.4999999998</v>
      </c>
      <c r="AE10" s="190">
        <v>1454044.2235649999</v>
      </c>
      <c r="AF10" s="184">
        <f t="shared" si="2"/>
        <v>30911527.904571716</v>
      </c>
      <c r="AG10"/>
      <c r="AH10"/>
      <c r="AI10"/>
      <c r="AJ10"/>
      <c r="AK10"/>
      <c r="AL10"/>
      <c r="AM10"/>
      <c r="AN10"/>
      <c r="AO10"/>
      <c r="AP10"/>
      <c r="AQ10"/>
      <c r="AR10"/>
    </row>
    <row r="11" spans="2:44" ht="16.5" thickBot="1" x14ac:dyDescent="0.45">
      <c r="B11" s="189" t="s">
        <v>119</v>
      </c>
      <c r="C11" s="190">
        <v>0</v>
      </c>
      <c r="D11" s="190">
        <v>54297.32</v>
      </c>
      <c r="E11" s="190">
        <f>113907.7836+127393.753469999+3384.22+0.25</f>
        <v>244686.007069999</v>
      </c>
      <c r="F11" s="190">
        <v>189507.55</v>
      </c>
      <c r="G11" s="190">
        <v>106475.57000000065</v>
      </c>
      <c r="H11" s="190">
        <v>142489.14101730002</v>
      </c>
      <c r="I11" s="190">
        <v>42900.702580310688</v>
      </c>
      <c r="J11" s="190">
        <v>29016.997177830832</v>
      </c>
      <c r="K11" s="190">
        <v>86190.606939998994</v>
      </c>
      <c r="L11" s="190">
        <v>298634.15000000002</v>
      </c>
      <c r="M11" s="190">
        <v>317313.19775848754</v>
      </c>
      <c r="N11" s="190">
        <v>233080.17</v>
      </c>
      <c r="O11" s="190">
        <v>622038.13431109919</v>
      </c>
      <c r="P11" s="190">
        <v>386313.91376988153</v>
      </c>
      <c r="Q11" s="190">
        <v>709384.89280080062</v>
      </c>
      <c r="R11" s="190">
        <v>373458.5</v>
      </c>
      <c r="S11" s="190">
        <v>117855.35</v>
      </c>
      <c r="T11" s="190">
        <v>104307.57</v>
      </c>
      <c r="U11" s="190">
        <v>42003.4380496589</v>
      </c>
      <c r="V11" s="190">
        <v>335587.91498553636</v>
      </c>
      <c r="W11" s="190">
        <v>238555.14</v>
      </c>
      <c r="X11" s="190">
        <v>113131.624871623</v>
      </c>
      <c r="Y11" s="190">
        <v>206524.28521961439</v>
      </c>
      <c r="Z11" s="190">
        <v>488240.77</v>
      </c>
      <c r="AA11" s="190">
        <v>323696.8100663342</v>
      </c>
      <c r="AB11" s="190">
        <v>236636.91999999998</v>
      </c>
      <c r="AC11" s="190">
        <v>37050.35</v>
      </c>
      <c r="AD11" s="190">
        <v>78207.592308768537</v>
      </c>
      <c r="AE11" s="190">
        <v>569408.76127669774</v>
      </c>
      <c r="AF11" s="184">
        <f t="shared" si="2"/>
        <v>6726993.38020394</v>
      </c>
      <c r="AG11"/>
      <c r="AH11"/>
      <c r="AI11"/>
      <c r="AJ11"/>
      <c r="AK11"/>
      <c r="AL11"/>
      <c r="AM11"/>
      <c r="AN11"/>
      <c r="AO11"/>
      <c r="AP11"/>
      <c r="AQ11"/>
      <c r="AR11"/>
    </row>
    <row r="12" spans="2:44" ht="16.5" thickBot="1" x14ac:dyDescent="0.45">
      <c r="B12" s="186" t="s">
        <v>120</v>
      </c>
      <c r="C12" s="187">
        <f t="shared" ref="C12:W12" si="8">+SUM(C13:C13)</f>
        <v>0</v>
      </c>
      <c r="D12" s="187">
        <f t="shared" si="8"/>
        <v>0</v>
      </c>
      <c r="E12" s="187">
        <f t="shared" si="8"/>
        <v>62735.14</v>
      </c>
      <c r="F12" s="187">
        <f t="shared" si="8"/>
        <v>124954.99</v>
      </c>
      <c r="G12" s="187">
        <f t="shared" si="8"/>
        <v>133304.48251266847</v>
      </c>
      <c r="H12" s="187">
        <f t="shared" si="8"/>
        <v>136991.009545459</v>
      </c>
      <c r="I12" s="187">
        <f t="shared" si="8"/>
        <v>130383.7290297935</v>
      </c>
      <c r="J12" s="187">
        <f t="shared" si="8"/>
        <v>77094.712050728529</v>
      </c>
      <c r="K12" s="187">
        <f t="shared" si="8"/>
        <v>101744.6385744228</v>
      </c>
      <c r="L12" s="187">
        <f t="shared" si="8"/>
        <v>102894.772332621</v>
      </c>
      <c r="M12" s="187">
        <f t="shared" si="8"/>
        <v>104559.52937967885</v>
      </c>
      <c r="N12" s="187">
        <f t="shared" si="8"/>
        <v>110895.62879999998</v>
      </c>
      <c r="O12" s="187">
        <f t="shared" si="8"/>
        <v>154869.12</v>
      </c>
      <c r="P12" s="187">
        <f t="shared" si="8"/>
        <v>67995.630829599002</v>
      </c>
      <c r="Q12" s="187">
        <f t="shared" si="8"/>
        <v>55485.619199999994</v>
      </c>
      <c r="R12" s="187">
        <f t="shared" si="8"/>
        <v>100995.62880000001</v>
      </c>
      <c r="S12" s="187">
        <f t="shared" si="8"/>
        <v>180593.35</v>
      </c>
      <c r="T12" s="187">
        <f t="shared" si="8"/>
        <v>122663.64</v>
      </c>
      <c r="U12" s="187">
        <f t="shared" si="8"/>
        <v>78768.740000000005</v>
      </c>
      <c r="V12" s="187">
        <f t="shared" si="8"/>
        <v>70682.759999999995</v>
      </c>
      <c r="W12" s="187">
        <f t="shared" si="8"/>
        <v>73667.92</v>
      </c>
      <c r="X12" s="187">
        <f>+SUM(X13:X13)</f>
        <v>73077.81</v>
      </c>
      <c r="Y12" s="187">
        <f>+SUM(Y13:Y13)</f>
        <v>67198</v>
      </c>
      <c r="Z12" s="187">
        <f>+SUM(Z13:Z13)</f>
        <v>73903.92</v>
      </c>
      <c r="AA12" s="187">
        <f>+SUM(AA13:AA13)</f>
        <v>0</v>
      </c>
      <c r="AB12" s="187">
        <f>+SUM(AB13:AB13)</f>
        <v>73289.759999999995</v>
      </c>
      <c r="AC12" s="187">
        <f t="shared" ref="AC12:AE12" si="9">+SUM(AC13:AC13)</f>
        <v>68883.936000000002</v>
      </c>
      <c r="AD12" s="187">
        <f t="shared" si="9"/>
        <v>0</v>
      </c>
      <c r="AE12" s="187">
        <f t="shared" si="9"/>
        <v>0</v>
      </c>
      <c r="AF12" s="184">
        <f>SUM(C12:AD12)</f>
        <v>2347634.467054971</v>
      </c>
      <c r="AG12"/>
      <c r="AH12"/>
      <c r="AI12"/>
      <c r="AJ12"/>
      <c r="AK12"/>
      <c r="AL12"/>
      <c r="AM12"/>
      <c r="AN12"/>
      <c r="AO12"/>
      <c r="AP12"/>
      <c r="AQ12"/>
      <c r="AR12"/>
    </row>
    <row r="13" spans="2:44" ht="16.5" thickBot="1" x14ac:dyDescent="0.45">
      <c r="B13" s="189" t="s">
        <v>121</v>
      </c>
      <c r="C13" s="190">
        <v>0</v>
      </c>
      <c r="D13" s="190">
        <v>0</v>
      </c>
      <c r="E13" s="190">
        <v>62735.14</v>
      </c>
      <c r="F13" s="190">
        <v>124954.99</v>
      </c>
      <c r="G13" s="190">
        <v>133304.48251266847</v>
      </c>
      <c r="H13" s="190">
        <v>136991.009545459</v>
      </c>
      <c r="I13" s="190">
        <f>54356.4793375998+76027.2496921937</f>
        <v>130383.7290297935</v>
      </c>
      <c r="J13" s="190">
        <v>77094.712050728529</v>
      </c>
      <c r="K13" s="190">
        <f>61732.3761744228+40012.2624</f>
        <v>101744.6385744228</v>
      </c>
      <c r="L13" s="190">
        <v>102894.772332621</v>
      </c>
      <c r="M13" s="190">
        <v>104559.52937967885</v>
      </c>
      <c r="N13" s="190">
        <f>(103023.68+65000)*(1-0.34)</f>
        <v>110895.62879999998</v>
      </c>
      <c r="O13" s="190">
        <f>51000+84069.12+30000*(1-0.34)</f>
        <v>154869.12</v>
      </c>
      <c r="P13" s="190">
        <v>67995.630829599002</v>
      </c>
      <c r="Q13" s="190">
        <f>84069.12*(1-0.34)</f>
        <v>55485.619199999994</v>
      </c>
      <c r="R13" s="190">
        <f>(103023.68+50000)*0.66</f>
        <v>100995.62880000001</v>
      </c>
      <c r="S13" s="190">
        <v>180593.35</v>
      </c>
      <c r="T13" s="190">
        <v>122663.64</v>
      </c>
      <c r="U13" s="190">
        <v>78768.740000000005</v>
      </c>
      <c r="V13" s="190">
        <v>70682.759999999995</v>
      </c>
      <c r="W13" s="190">
        <v>73667.92</v>
      </c>
      <c r="X13" s="190">
        <v>73077.81</v>
      </c>
      <c r="Y13" s="190">
        <v>67198</v>
      </c>
      <c r="Z13" s="190">
        <v>73903.92</v>
      </c>
      <c r="AA13" s="190" t="s">
        <v>122</v>
      </c>
      <c r="AB13" s="190">
        <v>73289.759999999995</v>
      </c>
      <c r="AC13" s="190">
        <v>68883.936000000002</v>
      </c>
      <c r="AD13" s="190">
        <v>0</v>
      </c>
      <c r="AE13" s="190">
        <v>0</v>
      </c>
      <c r="AF13" s="184">
        <f>SUM(C13:AE13)</f>
        <v>2347634.467054971</v>
      </c>
      <c r="AG13"/>
      <c r="AH13"/>
      <c r="AI13"/>
      <c r="AJ13"/>
      <c r="AK13"/>
      <c r="AL13"/>
      <c r="AM13"/>
      <c r="AN13"/>
      <c r="AO13"/>
      <c r="AP13"/>
      <c r="AQ13"/>
      <c r="AR13"/>
    </row>
    <row r="14" spans="2:44" ht="16.5" thickBot="1" x14ac:dyDescent="0.45">
      <c r="B14" s="186" t="s">
        <v>123</v>
      </c>
      <c r="C14" s="187">
        <v>0</v>
      </c>
      <c r="D14" s="187">
        <v>0</v>
      </c>
      <c r="E14" s="187">
        <v>0</v>
      </c>
      <c r="F14" s="187">
        <v>0</v>
      </c>
      <c r="G14" s="187">
        <v>0</v>
      </c>
      <c r="H14" s="187">
        <v>0</v>
      </c>
      <c r="I14" s="187">
        <v>353716.61</v>
      </c>
      <c r="J14" s="187">
        <v>89386.240000000005</v>
      </c>
      <c r="K14" s="187">
        <f>120543.1-40012.2624</f>
        <v>80530.837599999999</v>
      </c>
      <c r="L14" s="187">
        <f>113570.8+8201.59+938187.08-L12</f>
        <v>957064.69766737893</v>
      </c>
      <c r="M14" s="187">
        <f>429169.74275+33637.06+5486.62</f>
        <v>468293.42274999997</v>
      </c>
      <c r="N14" s="187">
        <f>605561.05+9732.45</f>
        <v>615293.5</v>
      </c>
      <c r="O14" s="187">
        <f>462289.89+34179.92+19387.36+43117.49</f>
        <v>558974.66</v>
      </c>
      <c r="P14" s="187">
        <f>124597.67+11399.77+513970.86+157.24+109.68</f>
        <v>650235.22000000009</v>
      </c>
      <c r="Q14" s="187">
        <f>361487.69+55215.19</f>
        <v>416702.88</v>
      </c>
      <c r="R14" s="187">
        <f>473678.63+75513.74</f>
        <v>549192.37</v>
      </c>
      <c r="S14" s="187">
        <f>33578.97+411085.7+80376.17-18084.63</f>
        <v>506956.21000000008</v>
      </c>
      <c r="T14" s="187">
        <v>549171.82000000007</v>
      </c>
      <c r="U14" s="187">
        <f>119013.67+615643.53</f>
        <v>734657.20000000007</v>
      </c>
      <c r="V14" s="187">
        <f>604174.87+23526.18</f>
        <v>627701.05000000005</v>
      </c>
      <c r="W14" s="187">
        <f>9097.51+609955.82</f>
        <v>619053.32999999996</v>
      </c>
      <c r="X14" s="187">
        <f>387679.949999999+20101.39</f>
        <v>407781.33999999904</v>
      </c>
      <c r="Y14" s="187">
        <f>611655.072+12754.71</f>
        <v>624409.78200000001</v>
      </c>
      <c r="Z14" s="187">
        <f>359056.256</f>
        <v>359056.25599999999</v>
      </c>
      <c r="AA14" s="187">
        <f>638991.353787202+7350.8</f>
        <v>646342.15378720209</v>
      </c>
      <c r="AB14" s="187">
        <v>265235.92224000097</v>
      </c>
      <c r="AC14" s="187">
        <f>559143.5566176+37318.03</f>
        <v>596461.58661760006</v>
      </c>
      <c r="AD14" s="187">
        <v>628365.04639999988</v>
      </c>
      <c r="AE14" s="187">
        <v>0</v>
      </c>
      <c r="AF14" s="184">
        <f>SUM(C14:AE14)</f>
        <v>11304582.135062179</v>
      </c>
      <c r="AG14"/>
      <c r="AH14"/>
      <c r="AI14"/>
      <c r="AJ14"/>
      <c r="AK14"/>
      <c r="AL14"/>
      <c r="AM14"/>
      <c r="AN14"/>
      <c r="AO14"/>
      <c r="AP14"/>
      <c r="AQ14"/>
      <c r="AR14"/>
    </row>
    <row r="15" spans="2:44" ht="16.5" thickBot="1" x14ac:dyDescent="0.45">
      <c r="B15" s="191" t="s">
        <v>124</v>
      </c>
      <c r="C15" s="192">
        <v>1407.27</v>
      </c>
      <c r="D15" s="192">
        <f>14370.57-C15</f>
        <v>12963.3</v>
      </c>
      <c r="E15" s="192">
        <v>28443.14</v>
      </c>
      <c r="F15" s="192">
        <f>24006.6600000262+7+0.02</f>
        <v>24013.680000026201</v>
      </c>
      <c r="G15" s="192">
        <f>59577.6799999773+6.22</f>
        <v>59583.8999999773</v>
      </c>
      <c r="H15" s="192">
        <f>45841.726499998+14590.14</f>
        <v>60431.866499998003</v>
      </c>
      <c r="I15" s="192">
        <f>39635.3492908279+33534.6</f>
        <v>73169.949290827906</v>
      </c>
      <c r="J15" s="192">
        <f>34366.8678599894+30486</f>
        <v>64852.867859989397</v>
      </c>
      <c r="K15" s="192">
        <f>18291.6+14316.92</f>
        <v>32608.519999999997</v>
      </c>
      <c r="L15" s="192">
        <f>96345.5662800074+24388.8</f>
        <v>120734.36628000741</v>
      </c>
      <c r="M15" s="192">
        <f>30486+155273.279999912</f>
        <v>185759.27999991199</v>
      </c>
      <c r="N15" s="192">
        <f>30486+85799.61</f>
        <v>116285.61</v>
      </c>
      <c r="O15" s="192">
        <f>18291.6+83654.81</f>
        <v>101946.41</v>
      </c>
      <c r="P15" s="192">
        <v>14452.276280000806</v>
      </c>
      <c r="Q15" s="192">
        <v>71118.673390000171</v>
      </c>
      <c r="R15" s="192">
        <v>105660.88</v>
      </c>
      <c r="S15" s="192">
        <v>160685.44000001065</v>
      </c>
      <c r="T15" s="192">
        <f>27991.74+105764.56</f>
        <v>133756.29999999999</v>
      </c>
      <c r="U15" s="192">
        <f>68867.33+35440.94</f>
        <v>104308.27</v>
      </c>
      <c r="V15" s="192">
        <f>34438.65+6129.6</f>
        <v>40568.25</v>
      </c>
      <c r="W15" s="192">
        <v>25173.06</v>
      </c>
      <c r="X15" s="192">
        <v>39107.980000000003</v>
      </c>
      <c r="Y15" s="192">
        <v>54500.34</v>
      </c>
      <c r="Z15" s="192">
        <f>26707.04+500</f>
        <v>27207.040000000001</v>
      </c>
      <c r="AA15" s="192">
        <v>76302.889999993102</v>
      </c>
      <c r="AB15" s="192">
        <v>87582.136770001103</v>
      </c>
      <c r="AC15" s="192">
        <v>118801.3663699977</v>
      </c>
      <c r="AD15" s="192">
        <f>131997.42+40794.6458399973</f>
        <v>172792.06583999732</v>
      </c>
      <c r="AE15" s="192">
        <f>25912.6205199981+124379.3</f>
        <v>150291.92051999809</v>
      </c>
      <c r="AF15" s="184">
        <f>SUM(C15:AE15)</f>
        <v>2264509.0491007376</v>
      </c>
      <c r="AG15"/>
      <c r="AH15"/>
      <c r="AI15"/>
      <c r="AJ15"/>
      <c r="AK15"/>
      <c r="AL15"/>
      <c r="AM15"/>
      <c r="AN15"/>
      <c r="AO15"/>
      <c r="AP15"/>
      <c r="AQ15"/>
      <c r="AR15"/>
    </row>
    <row r="16" spans="2:44" ht="16.5" thickBot="1" x14ac:dyDescent="0.45">
      <c r="B16" s="182" t="s">
        <v>125</v>
      </c>
      <c r="C16" s="183">
        <f t="shared" ref="C16:Q16" si="10">+SUM(C17:C19)</f>
        <v>-88603.619999999981</v>
      </c>
      <c r="D16" s="183">
        <f t="shared" si="10"/>
        <v>-53014.069999999992</v>
      </c>
      <c r="E16" s="183">
        <f t="shared" si="10"/>
        <v>-52414.559999999998</v>
      </c>
      <c r="F16" s="183">
        <f t="shared" si="10"/>
        <v>-30522.54</v>
      </c>
      <c r="G16" s="183">
        <f t="shared" si="10"/>
        <v>-30726.48</v>
      </c>
      <c r="H16" s="183">
        <f t="shared" si="10"/>
        <v>-31049.200000000001</v>
      </c>
      <c r="I16" s="183">
        <f t="shared" si="10"/>
        <v>-39814.910000000003</v>
      </c>
      <c r="J16" s="183">
        <f t="shared" si="10"/>
        <v>-209158.37</v>
      </c>
      <c r="K16" s="183">
        <f t="shared" si="10"/>
        <v>-149514.07999999999</v>
      </c>
      <c r="L16" s="183">
        <f t="shared" si="10"/>
        <v>-453044.61</v>
      </c>
      <c r="M16" s="183">
        <f t="shared" si="10"/>
        <v>-764707.24999999907</v>
      </c>
      <c r="N16" s="183">
        <f t="shared" si="10"/>
        <v>-311715.31000000006</v>
      </c>
      <c r="O16" s="183">
        <f t="shared" si="10"/>
        <v>-114523.62000000001</v>
      </c>
      <c r="P16" s="183">
        <f t="shared" si="10"/>
        <v>-339532.52</v>
      </c>
      <c r="Q16" s="183">
        <f t="shared" si="10"/>
        <v>-1351528.88</v>
      </c>
      <c r="R16" s="183">
        <f t="shared" ref="R16:W16" si="11">+SUM(R17:R19)</f>
        <v>-220006.8</v>
      </c>
      <c r="S16" s="183">
        <f t="shared" si="11"/>
        <v>-1189271.9518429998</v>
      </c>
      <c r="T16" s="183">
        <f t="shared" si="11"/>
        <v>-247847.61</v>
      </c>
      <c r="U16" s="183">
        <f t="shared" si="11"/>
        <v>-500126.11000000004</v>
      </c>
      <c r="V16" s="183">
        <f t="shared" si="11"/>
        <v>-498125.45</v>
      </c>
      <c r="W16" s="183">
        <f t="shared" si="11"/>
        <v>-289555.81</v>
      </c>
      <c r="X16" s="183">
        <f>+SUM(X17:X19)</f>
        <v>-304455.11</v>
      </c>
      <c r="Y16" s="183">
        <f>+SUM(Y17:Y19)</f>
        <v>-293886.64</v>
      </c>
      <c r="Z16" s="183">
        <f t="shared" ref="Z16:AC16" si="12">+SUM(Z17:Z19)</f>
        <v>-345274.37</v>
      </c>
      <c r="AA16" s="183">
        <f t="shared" si="12"/>
        <v>-269033.90000000002</v>
      </c>
      <c r="AB16" s="183">
        <f t="shared" si="12"/>
        <v>-394349.29</v>
      </c>
      <c r="AC16" s="183">
        <f t="shared" si="12"/>
        <v>-766867.34</v>
      </c>
      <c r="AD16" s="183">
        <f>+SUM(AD17:AD19)</f>
        <v>-1464294.4550000001</v>
      </c>
      <c r="AE16" s="183">
        <f>+SUM(AE17:AE19)</f>
        <v>-295948.83999999997</v>
      </c>
      <c r="AF16" s="184">
        <f>SUM(C16:AE16)</f>
        <v>-11098913.696843</v>
      </c>
      <c r="AG16"/>
      <c r="AH16"/>
      <c r="AI16"/>
      <c r="AJ16"/>
      <c r="AK16"/>
      <c r="AL16"/>
      <c r="AM16"/>
      <c r="AN16"/>
      <c r="AO16"/>
      <c r="AP16"/>
      <c r="AQ16"/>
      <c r="AR16"/>
    </row>
    <row r="17" spans="2:44" ht="16.5" thickBot="1" x14ac:dyDescent="0.45">
      <c r="B17" s="191" t="s">
        <v>126</v>
      </c>
      <c r="C17" s="192">
        <v>0</v>
      </c>
      <c r="D17" s="192">
        <f>-38047.02-(-5588.28)</f>
        <v>-32458.739999999998</v>
      </c>
      <c r="E17" s="192">
        <f>-24782.33+109.2+7689.93</f>
        <v>-16983.2</v>
      </c>
      <c r="F17" s="192">
        <f>-15000-2000-2019.76</f>
        <v>-19019.759999999998</v>
      </c>
      <c r="G17" s="192">
        <f>-15000-2000-12000-794.55</f>
        <v>-29794.55</v>
      </c>
      <c r="H17" s="192">
        <f>-15000-2000-12000-754.8</f>
        <v>-29754.799999999999</v>
      </c>
      <c r="I17" s="192">
        <f>-15000-2000-12000-3433.57</f>
        <v>-32433.57</v>
      </c>
      <c r="J17" s="192">
        <f>-35625.26-2018.2-29.92</f>
        <v>-37673.379999999997</v>
      </c>
      <c r="K17" s="192">
        <f>-76616.26-2033.64-30.45</f>
        <v>-78680.349999999991</v>
      </c>
      <c r="L17" s="192">
        <f>-399703.16-2791-29.78</f>
        <v>-402523.94</v>
      </c>
      <c r="M17" s="192">
        <f>-106584.72-33388.06-12000-2000-1058.4</f>
        <v>-155031.18</v>
      </c>
      <c r="N17" s="192">
        <f>-2000-12000-27827.6-6000-168879.57-1184.4-74655.09</f>
        <v>-292546.66000000003</v>
      </c>
      <c r="O17" s="192">
        <f>-24865.36-73495.75-1290.8-2000</f>
        <v>-101651.91</v>
      </c>
      <c r="P17" s="192">
        <f>-1478.4-187819.69-31833.85-2000</f>
        <v>-223131.94</v>
      </c>
      <c r="Q17" s="192">
        <f>-25048.93+-1920.8+-147788.57+-2000</f>
        <v>-176758.30000000002</v>
      </c>
      <c r="R17" s="192">
        <f>-30718.4-181238.8-4504.6-27.95</f>
        <v>-216489.75</v>
      </c>
      <c r="S17" s="192">
        <f>-202003.54-28.23-5341.5</f>
        <v>-207373.27000000002</v>
      </c>
      <c r="T17" s="192">
        <f>-203391.91-34473.2-4205.05-2000</f>
        <v>-244070.15999999997</v>
      </c>
      <c r="U17" s="192">
        <f>-285726.15+-6725.65+-28.96</f>
        <v>-292480.76000000007</v>
      </c>
      <c r="V17" s="192">
        <f>-248789.75-7218.7-22.66</f>
        <v>-256031.11000000002</v>
      </c>
      <c r="W17" s="192">
        <f>-261117.2+-7225.35</f>
        <v>-268342.55</v>
      </c>
      <c r="X17" s="192">
        <f>-249471.67-8151.6</f>
        <v>-257623.27000000002</v>
      </c>
      <c r="Y17" s="192">
        <f>-249052.54-8696.9</f>
        <v>-257749.44</v>
      </c>
      <c r="Z17" s="192">
        <f>-273330.75-9392.3</f>
        <v>-282723.05</v>
      </c>
      <c r="AA17" s="192">
        <f>-239157.85-9743.8</f>
        <v>-248901.65</v>
      </c>
      <c r="AB17" s="192">
        <f>-259325.59-9851.15</f>
        <v>-269176.74</v>
      </c>
      <c r="AC17" s="192">
        <v>-294824.82</v>
      </c>
      <c r="AD17" s="192">
        <v>-282473.78999999998</v>
      </c>
      <c r="AE17" s="192">
        <v>-270930.71999999997</v>
      </c>
      <c r="AF17" s="184">
        <f>SUM(C17:AE17)</f>
        <v>-5277633.3599999994</v>
      </c>
      <c r="AG17"/>
      <c r="AH17"/>
      <c r="AI17"/>
      <c r="AJ17"/>
      <c r="AK17"/>
      <c r="AL17"/>
      <c r="AM17"/>
      <c r="AN17"/>
      <c r="AO17"/>
      <c r="AP17"/>
      <c r="AQ17"/>
      <c r="AR17"/>
    </row>
    <row r="18" spans="2:44" ht="16.5" thickBot="1" x14ac:dyDescent="0.45">
      <c r="B18" s="191" t="s">
        <v>127</v>
      </c>
      <c r="C18" s="192">
        <v>0</v>
      </c>
      <c r="D18" s="192">
        <v>0</v>
      </c>
      <c r="E18" s="192">
        <v>0</v>
      </c>
      <c r="F18" s="192">
        <v>0</v>
      </c>
      <c r="G18" s="192">
        <v>0</v>
      </c>
      <c r="H18" s="192">
        <v>0</v>
      </c>
      <c r="I18" s="192">
        <v>0</v>
      </c>
      <c r="J18" s="192">
        <v>0</v>
      </c>
      <c r="K18" s="192">
        <v>0</v>
      </c>
      <c r="L18" s="192">
        <v>0</v>
      </c>
      <c r="M18" s="192">
        <v>-580273.75</v>
      </c>
      <c r="N18" s="192">
        <v>0</v>
      </c>
      <c r="O18" s="192">
        <v>0</v>
      </c>
      <c r="P18" s="192">
        <v>0</v>
      </c>
      <c r="Q18" s="192">
        <v>-999684.22</v>
      </c>
      <c r="R18" s="192">
        <v>0</v>
      </c>
      <c r="S18" s="192">
        <v>-932287.61</v>
      </c>
      <c r="T18" s="192">
        <v>0</v>
      </c>
      <c r="U18" s="192">
        <v>0</v>
      </c>
      <c r="V18" s="192">
        <v>0</v>
      </c>
      <c r="W18" s="192">
        <v>0</v>
      </c>
      <c r="X18" s="192">
        <v>0</v>
      </c>
      <c r="Y18" s="192">
        <v>0</v>
      </c>
      <c r="Z18" s="192">
        <v>0</v>
      </c>
      <c r="AA18" s="192">
        <v>0</v>
      </c>
      <c r="AB18" s="192">
        <v>0</v>
      </c>
      <c r="AC18" s="192"/>
      <c r="AD18" s="192">
        <v>-1140804.68</v>
      </c>
      <c r="AE18" s="192">
        <v>0</v>
      </c>
      <c r="AF18" s="184">
        <f>SUM(C18:AD18)</f>
        <v>-3653050.26</v>
      </c>
      <c r="AG18"/>
      <c r="AH18"/>
      <c r="AI18"/>
      <c r="AJ18"/>
      <c r="AK18"/>
      <c r="AL18"/>
      <c r="AM18"/>
      <c r="AN18"/>
      <c r="AO18"/>
      <c r="AP18"/>
      <c r="AQ18"/>
      <c r="AR18"/>
    </row>
    <row r="19" spans="2:44" ht="16.5" thickBot="1" x14ac:dyDescent="0.45">
      <c r="B19" s="191" t="s">
        <v>128</v>
      </c>
      <c r="C19" s="192">
        <v>-88603.619999999981</v>
      </c>
      <c r="D19" s="192">
        <f>-14967.05-5588.28</f>
        <v>-20555.329999999998</v>
      </c>
      <c r="E19" s="192">
        <f>-0.01-14019.76-10486.34-3235.32-7689.93</f>
        <v>-35431.360000000001</v>
      </c>
      <c r="F19" s="192">
        <f>-11502.78</f>
        <v>-11502.78</v>
      </c>
      <c r="G19" s="192">
        <f>-52.42-9.7-9.7-9.7-9.7-840.71</f>
        <v>-931.93000000000006</v>
      </c>
      <c r="H19" s="192">
        <v>-1294.4000000000001</v>
      </c>
      <c r="I19" s="192">
        <v>-7381.34</v>
      </c>
      <c r="J19" s="192">
        <f>-120.84-274-924.97-170165.18</f>
        <v>-171484.99</v>
      </c>
      <c r="K19" s="192">
        <f>(1493.74+232.8+27122.19+18585+23400)*-1</f>
        <v>-70833.73</v>
      </c>
      <c r="L19" s="192">
        <f>-213.4-2138.75-48.78-25553.43-21905.31-661</f>
        <v>-50520.67</v>
      </c>
      <c r="M19" s="192">
        <v>-29402.319999999134</v>
      </c>
      <c r="N19" s="192">
        <v>-19168.650000000001</v>
      </c>
      <c r="O19" s="192">
        <f>-174.6-2490.63-38.73-28.21-10139.54</f>
        <v>-12871.710000000001</v>
      </c>
      <c r="P19" s="192">
        <f>-84.61-174.6-2490.63-37.88-112850.11-736-26.75</f>
        <v>-116400.58</v>
      </c>
      <c r="Q19" s="192">
        <f>-46139.93-25000-25000-2612.53-12649.14-17708.82-45803.17-27.27-145.5</f>
        <v>-175086.35999999996</v>
      </c>
      <c r="R19" s="192">
        <f>-145.5-2635.55-736</f>
        <v>-3517.05</v>
      </c>
      <c r="S19" s="192">
        <f>-184.3-2743.821843-41400-2246.95-3036</f>
        <v>-49611.071842999998</v>
      </c>
      <c r="T19" s="192">
        <f>-155.2-2857.44-28.81-736</f>
        <v>-3777.45</v>
      </c>
      <c r="U19" s="192">
        <f>-145.5+-42120.03+-4711.58+-160668.24</f>
        <v>-207645.34999999998</v>
      </c>
      <c r="V19" s="192">
        <f>-145.5-14040.01-5260.99-222647.84</f>
        <v>-242094.34</v>
      </c>
      <c r="W19" s="192">
        <f>-5060.07+-157.98+-14040.01+-155.2+-1800</f>
        <v>-21213.26</v>
      </c>
      <c r="X19" s="192">
        <f>(46+736+5664.03+11250+135.8+14040.01+14960)*-1</f>
        <v>-46831.839999999997</v>
      </c>
      <c r="Y19" s="192">
        <f>(14040.01+145.5+765.1+14960+500+5675.01+51.58)*-1</f>
        <v>-36137.200000000004</v>
      </c>
      <c r="Z19" s="192">
        <f>(184.3+14040.01+9000+9000+12881.74+61.95+736+5897.94+10749.38)*-1</f>
        <v>-62551.319999999992</v>
      </c>
      <c r="AA19" s="192">
        <f>(135.8+14040.01+5906.78+49.66)*-1</f>
        <v>-20132.25</v>
      </c>
      <c r="AB19" s="192">
        <f>(232.8+14040.01+11250+62442.61+13980.72+16602.1+59.74+736+5828.57)*-1</f>
        <v>-125172.54999999999</v>
      </c>
      <c r="AC19" s="192">
        <f>(203.7+14040.01+30357.96+45000+16602.1+5652.74+88.72+360097.29)*-1</f>
        <v>-472042.51999999996</v>
      </c>
      <c r="AD19" s="192">
        <f>(110.61+736+6254.84+14040.01+16602.105+1687.14+979+203.7+402.58)*-1</f>
        <v>-41015.985000000001</v>
      </c>
      <c r="AE19" s="192">
        <v>-25018.12</v>
      </c>
      <c r="AF19" s="184">
        <f>SUM(C19:AE19)</f>
        <v>-2168230.0768429991</v>
      </c>
      <c r="AG19"/>
      <c r="AH19"/>
      <c r="AI19"/>
      <c r="AJ19"/>
      <c r="AK19"/>
      <c r="AL19"/>
      <c r="AM19"/>
      <c r="AN19"/>
      <c r="AO19"/>
      <c r="AP19"/>
      <c r="AQ19"/>
      <c r="AR19"/>
    </row>
    <row r="20" spans="2:44" ht="16.5" thickBot="1" x14ac:dyDescent="0.45">
      <c r="B20" s="191" t="s">
        <v>129</v>
      </c>
      <c r="C20" s="192">
        <v>0</v>
      </c>
      <c r="D20" s="192">
        <v>0</v>
      </c>
      <c r="E20" s="192">
        <v>0</v>
      </c>
      <c r="F20" s="192">
        <v>0</v>
      </c>
      <c r="G20" s="192">
        <v>0</v>
      </c>
      <c r="H20" s="192">
        <v>0</v>
      </c>
      <c r="I20" s="192">
        <v>0</v>
      </c>
      <c r="J20" s="192">
        <f>(-(24995.69+32097.4+17550.02))-537401.91</f>
        <v>-612045.02</v>
      </c>
      <c r="K20" s="192">
        <v>-250380</v>
      </c>
      <c r="L20" s="192">
        <v>-250380</v>
      </c>
      <c r="M20" s="192">
        <f>-958190.48-98768.71-4660</f>
        <v>-1061619.19</v>
      </c>
      <c r="N20" s="192">
        <v>0</v>
      </c>
      <c r="O20" s="192">
        <f>-14734.3-37500</f>
        <v>-52234.3</v>
      </c>
      <c r="P20" s="192">
        <f>-12000-9.7-182512.47</f>
        <v>-194522.17</v>
      </c>
      <c r="Q20" s="192">
        <v>0</v>
      </c>
      <c r="R20" s="192">
        <f>-14734.3-80000</f>
        <v>-94734.3</v>
      </c>
      <c r="S20" s="192">
        <f>-182512.47-14040.01</f>
        <v>-196552.48</v>
      </c>
      <c r="T20" s="192">
        <v>-14040.41</v>
      </c>
      <c r="U20" s="192">
        <v>-40000</v>
      </c>
      <c r="V20" s="192">
        <v>-182512.47</v>
      </c>
      <c r="W20" s="192">
        <f>-130659.76+-14734.3+-93751</f>
        <v>-239145.06</v>
      </c>
      <c r="X20" s="192">
        <f>-27290.24-8000</f>
        <v>-35290.240000000005</v>
      </c>
      <c r="Y20" s="192">
        <v>-60000</v>
      </c>
      <c r="Z20" s="192">
        <f>-(35252.65+131.95)</f>
        <v>-35384.6</v>
      </c>
      <c r="AA20" s="192">
        <v>0</v>
      </c>
      <c r="AB20" s="192">
        <v>0</v>
      </c>
      <c r="AC20" s="192"/>
      <c r="AD20" s="192"/>
      <c r="AE20" s="192"/>
      <c r="AF20" s="184">
        <f>SUM(C20:AD20)</f>
        <v>-3318840.24</v>
      </c>
      <c r="AG20"/>
      <c r="AH20"/>
      <c r="AI20"/>
      <c r="AJ20"/>
      <c r="AK20"/>
      <c r="AL20"/>
      <c r="AM20"/>
      <c r="AN20"/>
      <c r="AO20"/>
      <c r="AP20"/>
      <c r="AQ20"/>
      <c r="AR20"/>
    </row>
    <row r="21" spans="2:44" ht="16.5" thickBot="1" x14ac:dyDescent="0.45">
      <c r="B21" s="182" t="s">
        <v>167</v>
      </c>
      <c r="C21" s="183" t="e">
        <f t="shared" ref="C21:F21" si="13">+#REF!+C16</f>
        <v>#REF!</v>
      </c>
      <c r="D21" s="183" t="e">
        <f t="shared" si="13"/>
        <v>#REF!</v>
      </c>
      <c r="E21" s="183" t="e">
        <f t="shared" si="13"/>
        <v>#REF!</v>
      </c>
      <c r="F21" s="183" t="e">
        <f t="shared" si="13"/>
        <v>#REF!</v>
      </c>
      <c r="G21" s="183" t="e">
        <f>+#REF!+G16</f>
        <v>#REF!</v>
      </c>
      <c r="H21" s="183" t="e">
        <f>+#REF!+H16</f>
        <v>#REF!</v>
      </c>
      <c r="I21" s="184" t="e">
        <f t="shared" ref="I21" si="14">SUM(C21:H21)</f>
        <v>#REF!</v>
      </c>
      <c r="L21" s="188"/>
      <c r="Y21" s="183">
        <v>2578507.5400000056</v>
      </c>
      <c r="Z21" s="183">
        <v>2519481.3399999854</v>
      </c>
      <c r="AA21" s="183">
        <v>2594921.5900000371</v>
      </c>
      <c r="AB21" s="183">
        <v>1833559.8900000183</v>
      </c>
      <c r="AC21" s="183">
        <v>3449242.5860002772</v>
      </c>
      <c r="AD21" s="183">
        <v>1845049.9500001257</v>
      </c>
      <c r="AE21" s="183">
        <v>4487492.9999999199</v>
      </c>
      <c r="AF21" s="184">
        <f>SUM(Y21:AE21)</f>
        <v>19308255.89600037</v>
      </c>
      <c r="AG21"/>
      <c r="AH21"/>
      <c r="AI21"/>
      <c r="AJ21"/>
      <c r="AK21"/>
      <c r="AL21"/>
      <c r="AM21"/>
      <c r="AN21"/>
      <c r="AO21"/>
      <c r="AP21"/>
      <c r="AQ21"/>
      <c r="AR21"/>
    </row>
    <row r="22" spans="2:44" ht="16.5" thickBot="1" x14ac:dyDescent="0.45">
      <c r="B22" s="182" t="s">
        <v>168</v>
      </c>
      <c r="C22" s="183">
        <f t="shared" ref="C22:AC22" si="15">+C6+C16</f>
        <v>-87196.349999999977</v>
      </c>
      <c r="D22" s="183">
        <f t="shared" si="15"/>
        <v>573914.19000000006</v>
      </c>
      <c r="E22" s="183">
        <f t="shared" si="15"/>
        <v>738631.84706999897</v>
      </c>
      <c r="F22" s="183">
        <f t="shared" si="15"/>
        <v>832985.72000002617</v>
      </c>
      <c r="G22" s="183">
        <f t="shared" si="15"/>
        <v>849800.817389898</v>
      </c>
      <c r="H22" s="183">
        <f t="shared" si="15"/>
        <v>860309.13751729799</v>
      </c>
      <c r="I22" s="183">
        <f t="shared" si="15"/>
        <v>1706180.0518711389</v>
      </c>
      <c r="J22" s="183">
        <f t="shared" si="15"/>
        <v>1118533.5950378203</v>
      </c>
      <c r="K22" s="183">
        <f t="shared" si="15"/>
        <v>1348148.1069399989</v>
      </c>
      <c r="L22" s="183">
        <f t="shared" si="15"/>
        <v>1640249.2862800076</v>
      </c>
      <c r="M22" s="183">
        <f t="shared" si="15"/>
        <v>2327414.8805084</v>
      </c>
      <c r="N22" s="183">
        <f t="shared" si="15"/>
        <v>2310763.1999999997</v>
      </c>
      <c r="O22" s="183">
        <f t="shared" si="15"/>
        <v>2831447.0443110992</v>
      </c>
      <c r="P22" s="183">
        <f t="shared" si="15"/>
        <v>2198948.4500498823</v>
      </c>
      <c r="Q22" s="183">
        <f t="shared" si="15"/>
        <v>2341297.2261908012</v>
      </c>
      <c r="R22" s="183">
        <f t="shared" si="15"/>
        <v>2661376.9800000004</v>
      </c>
      <c r="S22" s="183">
        <f t="shared" si="15"/>
        <v>1944637.5281570114</v>
      </c>
      <c r="T22" s="183">
        <f t="shared" si="15"/>
        <v>3197441.6999999997</v>
      </c>
      <c r="U22" s="183">
        <f t="shared" si="15"/>
        <v>2746425.6580496593</v>
      </c>
      <c r="V22" s="183">
        <f t="shared" si="15"/>
        <v>3046852.1549855359</v>
      </c>
      <c r="W22" s="183">
        <f t="shared" si="15"/>
        <v>3344085.5399999996</v>
      </c>
      <c r="X22" s="183">
        <f t="shared" si="15"/>
        <v>2158873.1648716223</v>
      </c>
      <c r="Y22" s="183">
        <f t="shared" si="15"/>
        <v>2741503.9746319642</v>
      </c>
      <c r="Z22" s="183">
        <f t="shared" si="15"/>
        <v>2593156.5860000001</v>
      </c>
      <c r="AA22" s="183">
        <f t="shared" si="15"/>
        <v>2873061.9117758297</v>
      </c>
      <c r="AB22" s="183">
        <f t="shared" si="15"/>
        <v>2674166.9572921521</v>
      </c>
      <c r="AC22" s="183">
        <f t="shared" si="15"/>
        <v>2951133.8489875984</v>
      </c>
      <c r="AD22" s="183">
        <f>+AD6+AD16</f>
        <v>878527.74954876537</v>
      </c>
      <c r="AE22" s="183">
        <f>+AE6+AE16</f>
        <v>3977796.0653616963</v>
      </c>
      <c r="AF22" s="184">
        <f>SUM(C22:AE22)</f>
        <v>59380467.022828206</v>
      </c>
      <c r="AG22"/>
      <c r="AH22"/>
      <c r="AI22"/>
      <c r="AJ22"/>
      <c r="AK22"/>
      <c r="AL22"/>
      <c r="AM22"/>
      <c r="AN22"/>
      <c r="AO22"/>
      <c r="AP22"/>
      <c r="AQ22"/>
      <c r="AR22"/>
    </row>
    <row r="23" spans="2:44" ht="16.5" thickBot="1" x14ac:dyDescent="0.45">
      <c r="B23" s="191" t="s">
        <v>166</v>
      </c>
      <c r="C23" s="193"/>
      <c r="D23" s="193"/>
      <c r="E23" s="193"/>
      <c r="F23" s="193"/>
      <c r="G23" s="193"/>
      <c r="H23" s="193"/>
      <c r="I23" s="193"/>
      <c r="J23" s="193"/>
      <c r="K23" s="193"/>
      <c r="L23" s="193"/>
      <c r="M23" s="193"/>
      <c r="N23" s="193"/>
      <c r="O23" s="193"/>
      <c r="P23" s="193"/>
      <c r="Q23" s="193"/>
      <c r="R23" s="193"/>
      <c r="S23" s="193"/>
      <c r="T23" s="193"/>
      <c r="U23" s="193"/>
      <c r="V23" s="193"/>
      <c r="W23" s="193"/>
      <c r="X23" s="193"/>
      <c r="Y23" s="193">
        <v>980911.14536804147</v>
      </c>
      <c r="Z23" s="193">
        <v>907235.89936802676</v>
      </c>
      <c r="AA23" s="193">
        <v>629095.57759223413</v>
      </c>
      <c r="AB23" s="193">
        <v>-211511.48969989968</v>
      </c>
      <c r="AC23" s="193">
        <v>286597.24731277907</v>
      </c>
      <c r="AD23" s="193">
        <v>1253119.4477641394</v>
      </c>
      <c r="AE23" s="193">
        <v>1762816.38240236</v>
      </c>
      <c r="AF23" s="184">
        <f>SUM(C23:AE23)</f>
        <v>5608264.2101076804</v>
      </c>
      <c r="AG23"/>
      <c r="AH23"/>
      <c r="AI23"/>
      <c r="AJ23"/>
      <c r="AK23"/>
      <c r="AL23"/>
      <c r="AM23"/>
      <c r="AN23"/>
      <c r="AO23"/>
      <c r="AP23"/>
      <c r="AQ23"/>
      <c r="AR23"/>
    </row>
    <row r="24" spans="2:44" ht="16.5" thickBot="1" x14ac:dyDescent="0.45">
      <c r="B24" s="191" t="s">
        <v>165</v>
      </c>
      <c r="C24" s="192">
        <f>+C22-C25</f>
        <v>-87196.349999999977</v>
      </c>
      <c r="D24" s="192">
        <f>C24+D22-D25</f>
        <v>64038.6700000001</v>
      </c>
      <c r="E24" s="192">
        <f t="shared" ref="E24:AE24" si="16">D24+E22-E25</f>
        <v>71414.647069999017</v>
      </c>
      <c r="F24" s="192">
        <f t="shared" si="16"/>
        <v>71831.737070025178</v>
      </c>
      <c r="G24" s="192">
        <f t="shared" si="16"/>
        <v>48900.574459923198</v>
      </c>
      <c r="H24" s="192">
        <f t="shared" si="16"/>
        <v>54214.561977221048</v>
      </c>
      <c r="I24" s="192">
        <f t="shared" si="16"/>
        <v>399498.73384835967</v>
      </c>
      <c r="J24" s="192">
        <f t="shared" si="16"/>
        <v>96226.228886179859</v>
      </c>
      <c r="K24" s="192">
        <f t="shared" si="16"/>
        <v>75227.725826178677</v>
      </c>
      <c r="L24" s="192">
        <f t="shared" si="16"/>
        <v>325266.60540167894</v>
      </c>
      <c r="M24" s="192">
        <f t="shared" si="16"/>
        <v>428271.24591007875</v>
      </c>
      <c r="N24" s="192">
        <f t="shared" si="16"/>
        <v>429069.96591007849</v>
      </c>
      <c r="O24" s="192">
        <f t="shared" si="16"/>
        <v>693889.81022117799</v>
      </c>
      <c r="P24" s="192">
        <f t="shared" si="16"/>
        <v>326211.06027106056</v>
      </c>
      <c r="Q24" s="192">
        <f t="shared" si="16"/>
        <v>-11039.183538137935</v>
      </c>
      <c r="R24" s="192">
        <f t="shared" si="16"/>
        <v>-11142.331338137854</v>
      </c>
      <c r="S24" s="192">
        <f t="shared" si="16"/>
        <v>-739714.08318112628</v>
      </c>
      <c r="T24" s="192">
        <f t="shared" si="16"/>
        <v>-260035.15318112681</v>
      </c>
      <c r="U24" s="192">
        <f t="shared" si="16"/>
        <v>-186818.77513146726</v>
      </c>
      <c r="V24" s="192">
        <f t="shared" si="16"/>
        <v>75440.379854068626</v>
      </c>
      <c r="W24" s="192">
        <f t="shared" si="16"/>
        <v>634932.9198540682</v>
      </c>
      <c r="X24" s="192">
        <f t="shared" si="16"/>
        <v>-9707.7572743096389</v>
      </c>
      <c r="Y24" s="192">
        <f t="shared" si="16"/>
        <v>7675.9673576550558</v>
      </c>
      <c r="Z24" s="192">
        <f t="shared" si="16"/>
        <v>-191369.9266423448</v>
      </c>
      <c r="AA24" s="192">
        <f t="shared" si="16"/>
        <v>-110510.49486651504</v>
      </c>
      <c r="AB24" s="192">
        <f t="shared" si="16"/>
        <v>-228546.01757436292</v>
      </c>
      <c r="AC24" s="192">
        <f t="shared" si="16"/>
        <v>-69614.648586764466</v>
      </c>
      <c r="AD24" s="192">
        <f t="shared" si="16"/>
        <v>-3379390.6190379988</v>
      </c>
      <c r="AE24" s="192">
        <f t="shared" si="16"/>
        <v>-2542822.3436763026</v>
      </c>
      <c r="AF24" s="184" t="s">
        <v>77</v>
      </c>
      <c r="AG24"/>
      <c r="AH24"/>
      <c r="AI24"/>
      <c r="AJ24"/>
      <c r="AK24"/>
      <c r="AL24"/>
      <c r="AM24"/>
      <c r="AN24"/>
      <c r="AO24"/>
      <c r="AP24"/>
      <c r="AQ24"/>
      <c r="AR24"/>
    </row>
    <row r="25" spans="2:44" ht="16.5" thickBot="1" x14ac:dyDescent="0.45">
      <c r="B25" s="182" t="s">
        <v>130</v>
      </c>
      <c r="C25" s="183">
        <v>0</v>
      </c>
      <c r="D25" s="183">
        <f>SUM(D26,D28,D31,D34,D37,D40,D43,D46,D49,D52,D54)</f>
        <v>422679.17</v>
      </c>
      <c r="E25" s="183">
        <f t="shared" ref="E25:AA25" si="17">SUM(E26,E28,E31,E34,E37,E40,E43,E46,E49,E52,E54)</f>
        <v>731255.87000000011</v>
      </c>
      <c r="F25" s="183">
        <f t="shared" si="17"/>
        <v>832568.63</v>
      </c>
      <c r="G25" s="183">
        <f t="shared" si="17"/>
        <v>872731.98</v>
      </c>
      <c r="H25" s="183">
        <f t="shared" si="17"/>
        <v>854995.15000000014</v>
      </c>
      <c r="I25" s="183">
        <f t="shared" si="17"/>
        <v>1360895.8800000001</v>
      </c>
      <c r="J25" s="183">
        <f t="shared" si="17"/>
        <v>1421806.1</v>
      </c>
      <c r="K25" s="183">
        <f t="shared" si="17"/>
        <v>1369146.61</v>
      </c>
      <c r="L25" s="183">
        <f t="shared" si="17"/>
        <v>1390210.4067045073</v>
      </c>
      <c r="M25" s="183">
        <f t="shared" si="17"/>
        <v>2224410.2400000002</v>
      </c>
      <c r="N25" s="183">
        <f t="shared" si="17"/>
        <v>2309964.48</v>
      </c>
      <c r="O25" s="183">
        <f t="shared" si="17"/>
        <v>2566627.1999999997</v>
      </c>
      <c r="P25" s="183">
        <f t="shared" si="17"/>
        <v>2566627.1999999997</v>
      </c>
      <c r="Q25" s="183">
        <f t="shared" si="17"/>
        <v>2678547.4699999997</v>
      </c>
      <c r="R25" s="183">
        <f t="shared" si="17"/>
        <v>2661480.1278000004</v>
      </c>
      <c r="S25" s="183">
        <f t="shared" si="17"/>
        <v>2673209.2799999998</v>
      </c>
      <c r="T25" s="183">
        <f t="shared" si="17"/>
        <v>2717762.77</v>
      </c>
      <c r="U25" s="183">
        <f t="shared" si="17"/>
        <v>2673209.2799999998</v>
      </c>
      <c r="V25" s="183">
        <f t="shared" si="17"/>
        <v>2784593</v>
      </c>
      <c r="W25" s="183">
        <f t="shared" si="17"/>
        <v>2784593</v>
      </c>
      <c r="X25" s="183">
        <f>SUM(X26,X28,X31,X34,X37,X40,X43,X46,X49,X52,X54)</f>
        <v>2803513.8420000002</v>
      </c>
      <c r="Y25" s="183">
        <f t="shared" si="17"/>
        <v>2724120.2499999995</v>
      </c>
      <c r="Z25" s="183">
        <f t="shared" si="17"/>
        <v>2792202.48</v>
      </c>
      <c r="AA25" s="183">
        <f t="shared" si="17"/>
        <v>2792202.48</v>
      </c>
      <c r="AB25" s="183">
        <f>SUM(AB26,AB28,AB31,AB34,AB37,AB40,AB43,AB46,AB49,AB52,AB54)</f>
        <v>2792202.48</v>
      </c>
      <c r="AC25" s="183">
        <f>SUM(AC26,AC28,AC31,AC34,AC37,AC40,AC43,AC46,AC49,AC52,AC54)</f>
        <v>2792202.48</v>
      </c>
      <c r="AD25" s="183">
        <f>SUM(AD26,AD28,AD31,AD34,AD37,AD40,AD43,AD46,AD49,AD52,AD54)</f>
        <v>4188303.7199999997</v>
      </c>
      <c r="AE25" s="183">
        <v>3141227.79</v>
      </c>
      <c r="AF25" s="184">
        <f>SUM(C25:AE25)</f>
        <v>61923289.36650449</v>
      </c>
      <c r="AG25"/>
      <c r="AH25"/>
      <c r="AI25"/>
      <c r="AJ25"/>
      <c r="AK25"/>
      <c r="AL25"/>
      <c r="AM25"/>
      <c r="AN25"/>
      <c r="AO25"/>
      <c r="AP25"/>
      <c r="AQ25"/>
      <c r="AR25"/>
    </row>
    <row r="26" spans="2:44" ht="16.5" hidden="1" thickBot="1" x14ac:dyDescent="0.45">
      <c r="B26" s="186" t="s">
        <v>131</v>
      </c>
      <c r="C26" s="187">
        <v>0</v>
      </c>
      <c r="D26" s="187">
        <v>330000</v>
      </c>
      <c r="E26" s="187">
        <v>367400</v>
      </c>
      <c r="F26" s="187">
        <v>328460</v>
      </c>
      <c r="G26" s="187">
        <v>308000</v>
      </c>
      <c r="H26" s="187">
        <v>290400</v>
      </c>
      <c r="I26" s="187">
        <v>705692.4</v>
      </c>
      <c r="J26" s="187">
        <v>1421806.1</v>
      </c>
      <c r="K26" s="187">
        <v>1369146.61</v>
      </c>
      <c r="L26" s="187">
        <v>1390210.4067045073</v>
      </c>
      <c r="M26" s="187">
        <v>2224410.2400000002</v>
      </c>
      <c r="N26" s="187">
        <v>2309964.48</v>
      </c>
      <c r="O26" s="187">
        <v>2566627.1999999997</v>
      </c>
      <c r="P26" s="187">
        <v>2566627.1999999997</v>
      </c>
      <c r="Q26" s="187">
        <v>2566627.1999999997</v>
      </c>
      <c r="R26" s="187">
        <v>2395518.7200000002</v>
      </c>
      <c r="S26" s="187">
        <v>2673209.2799999998</v>
      </c>
      <c r="T26" s="187">
        <v>2717762.77</v>
      </c>
      <c r="U26" s="187">
        <v>2673209.2799999998</v>
      </c>
      <c r="V26" s="187">
        <v>2784593</v>
      </c>
      <c r="W26" s="187">
        <v>2784593</v>
      </c>
      <c r="X26" s="187">
        <v>2784593</v>
      </c>
      <c r="Y26" s="187">
        <v>2673209.2799999998</v>
      </c>
      <c r="Z26" s="187">
        <v>2792202.48</v>
      </c>
      <c r="AA26" s="187">
        <v>2792202.48</v>
      </c>
      <c r="AB26" s="187">
        <v>2792202.48</v>
      </c>
      <c r="AC26" s="187">
        <v>2792202.48</v>
      </c>
      <c r="AD26" s="187">
        <v>4188303.7199999997</v>
      </c>
      <c r="AE26" s="192"/>
      <c r="AF26" s="184">
        <f>SUM(C26:AD26)</f>
        <v>55589173.806704491</v>
      </c>
      <c r="AG26"/>
      <c r="AH26"/>
      <c r="AI26"/>
      <c r="AJ26"/>
      <c r="AK26"/>
      <c r="AL26"/>
      <c r="AM26"/>
      <c r="AN26"/>
      <c r="AO26"/>
      <c r="AP26"/>
      <c r="AQ26"/>
      <c r="AR26"/>
    </row>
    <row r="27" spans="2:44" ht="16.5" hidden="1" thickBot="1" x14ac:dyDescent="0.45">
      <c r="B27" s="189" t="s">
        <v>132</v>
      </c>
      <c r="C27" s="190">
        <f t="shared" ref="C27:H27" si="18">+C26/2200000</f>
        <v>0</v>
      </c>
      <c r="D27" s="190">
        <f t="shared" si="18"/>
        <v>0.15</v>
      </c>
      <c r="E27" s="190">
        <f t="shared" si="18"/>
        <v>0.16700000000000001</v>
      </c>
      <c r="F27" s="190">
        <f t="shared" si="18"/>
        <v>0.14929999999999999</v>
      </c>
      <c r="G27" s="190">
        <f t="shared" si="18"/>
        <v>0.14000000000000001</v>
      </c>
      <c r="H27" s="190">
        <f t="shared" si="18"/>
        <v>0.13200000000000001</v>
      </c>
      <c r="I27" s="190">
        <f>+I26/5040660</f>
        <v>0.14000000000000001</v>
      </c>
      <c r="J27" s="190">
        <v>0.13500000000000001</v>
      </c>
      <c r="K27" s="190">
        <v>0.13</v>
      </c>
      <c r="L27" s="190">
        <v>0.13200000000000001</v>
      </c>
      <c r="M27" s="190">
        <v>0.13</v>
      </c>
      <c r="N27" s="190">
        <v>0.13500000000000001</v>
      </c>
      <c r="O27" s="190">
        <v>0.15</v>
      </c>
      <c r="P27" s="190">
        <v>0.15</v>
      </c>
      <c r="Q27" s="190">
        <v>0.15</v>
      </c>
      <c r="R27" s="190">
        <v>0.14000000000000001</v>
      </c>
      <c r="S27" s="190">
        <v>0.12</v>
      </c>
      <c r="T27" s="190">
        <v>0.122</v>
      </c>
      <c r="U27" s="190">
        <v>0.12</v>
      </c>
      <c r="V27" s="190">
        <v>0.125</v>
      </c>
      <c r="W27" s="190">
        <v>0.125</v>
      </c>
      <c r="X27" s="190">
        <v>0.125</v>
      </c>
      <c r="Y27" s="190">
        <v>0.12</v>
      </c>
      <c r="Z27" s="190">
        <v>0.12</v>
      </c>
      <c r="AA27" s="190">
        <v>0.12</v>
      </c>
      <c r="AB27" s="190">
        <v>0.12</v>
      </c>
      <c r="AC27" s="190">
        <v>0.12</v>
      </c>
      <c r="AD27" s="190">
        <v>0.18</v>
      </c>
      <c r="AE27" s="190"/>
      <c r="AF27" s="184">
        <f t="shared" ref="AF27:AF55" si="19">SUM(C27:AD27)</f>
        <v>3.6473000000000004</v>
      </c>
      <c r="AG27"/>
      <c r="AH27"/>
      <c r="AI27"/>
      <c r="AJ27"/>
      <c r="AK27"/>
      <c r="AL27"/>
      <c r="AM27"/>
      <c r="AN27"/>
      <c r="AO27"/>
      <c r="AP27"/>
      <c r="AQ27"/>
      <c r="AR27"/>
    </row>
    <row r="28" spans="2:44" ht="16.5" hidden="1" thickBot="1" x14ac:dyDescent="0.45">
      <c r="B28" s="186" t="s">
        <v>133</v>
      </c>
      <c r="C28" s="187">
        <v>0</v>
      </c>
      <c r="D28" s="187">
        <v>92679.169999999984</v>
      </c>
      <c r="E28" s="187">
        <v>211382.3</v>
      </c>
      <c r="F28" s="187">
        <v>188978.42</v>
      </c>
      <c r="G28" s="187">
        <v>177206.82</v>
      </c>
      <c r="H28" s="187">
        <v>167080.64000000001</v>
      </c>
      <c r="I28" s="187">
        <v>177206.82</v>
      </c>
      <c r="J28" s="187">
        <v>0</v>
      </c>
      <c r="K28" s="187">
        <v>0</v>
      </c>
      <c r="L28" s="187">
        <v>0</v>
      </c>
      <c r="M28" s="187">
        <v>0</v>
      </c>
      <c r="N28" s="187">
        <v>0</v>
      </c>
      <c r="O28" s="187">
        <v>0</v>
      </c>
      <c r="P28" s="187">
        <v>0</v>
      </c>
      <c r="Q28" s="187">
        <v>77204.58</v>
      </c>
      <c r="R28" s="187">
        <v>112890.69699999999</v>
      </c>
      <c r="S28" s="187">
        <v>0</v>
      </c>
      <c r="T28" s="187">
        <v>0</v>
      </c>
      <c r="U28" s="187">
        <v>0</v>
      </c>
      <c r="V28" s="187">
        <v>0</v>
      </c>
      <c r="W28" s="187">
        <v>0</v>
      </c>
      <c r="X28" s="187">
        <v>17873.933000000001</v>
      </c>
      <c r="Y28" s="187">
        <v>27855.48</v>
      </c>
      <c r="Z28" s="187">
        <v>0</v>
      </c>
      <c r="AA28" s="187">
        <v>0</v>
      </c>
      <c r="AB28" s="187">
        <v>0</v>
      </c>
      <c r="AC28" s="187">
        <v>0</v>
      </c>
      <c r="AD28" s="187">
        <v>0</v>
      </c>
      <c r="AE28" s="192"/>
      <c r="AF28" s="184">
        <f t="shared" si="19"/>
        <v>1250358.8599999999</v>
      </c>
      <c r="AG28"/>
      <c r="AH28"/>
      <c r="AI28"/>
      <c r="AJ28"/>
      <c r="AK28"/>
      <c r="AL28"/>
      <c r="AM28"/>
      <c r="AN28"/>
      <c r="AO28"/>
      <c r="AP28"/>
      <c r="AQ28"/>
      <c r="AR28"/>
    </row>
    <row r="29" spans="2:44" ht="16.5" hidden="1" thickBot="1" x14ac:dyDescent="0.45">
      <c r="B29" s="189" t="s">
        <v>134</v>
      </c>
      <c r="C29" s="190">
        <f>+C28/2200000</f>
        <v>0</v>
      </c>
      <c r="D29" s="190">
        <f t="shared" ref="D29:I29" si="20">+D28/1265763</f>
        <v>7.3220002480717153E-2</v>
      </c>
      <c r="E29" s="190">
        <f t="shared" si="20"/>
        <v>0.16699990440548507</v>
      </c>
      <c r="F29" s="190">
        <f t="shared" si="20"/>
        <v>0.14930000323915299</v>
      </c>
      <c r="G29" s="190">
        <f t="shared" si="20"/>
        <v>0.14000000000000001</v>
      </c>
      <c r="H29" s="190">
        <f t="shared" si="20"/>
        <v>0.13199993995716419</v>
      </c>
      <c r="I29" s="190">
        <f t="shared" si="20"/>
        <v>0.14000000000000001</v>
      </c>
      <c r="J29" s="190">
        <v>0</v>
      </c>
      <c r="K29" s="190">
        <v>0</v>
      </c>
      <c r="L29" s="190">
        <v>0</v>
      </c>
      <c r="M29" s="190">
        <v>0</v>
      </c>
      <c r="N29" s="190">
        <v>0</v>
      </c>
      <c r="O29" s="190">
        <v>0</v>
      </c>
      <c r="P29" s="190">
        <v>0</v>
      </c>
      <c r="Q29" s="190">
        <v>7.8099996459407114E-2</v>
      </c>
      <c r="R29" s="190">
        <v>0.1142</v>
      </c>
      <c r="S29" s="190">
        <v>0</v>
      </c>
      <c r="T29" s="190">
        <v>0</v>
      </c>
      <c r="U29" s="190">
        <v>0</v>
      </c>
      <c r="V29" s="190">
        <v>0</v>
      </c>
      <c r="W29" s="190">
        <v>0</v>
      </c>
      <c r="X29" s="190">
        <v>7.6999999999999999E-2</v>
      </c>
      <c r="Y29" s="190">
        <v>0.12</v>
      </c>
      <c r="Z29" s="190">
        <v>0</v>
      </c>
      <c r="AA29" s="190">
        <v>0</v>
      </c>
      <c r="AB29" s="190">
        <v>0</v>
      </c>
      <c r="AC29" s="190">
        <v>0</v>
      </c>
      <c r="AD29" s="190">
        <v>0</v>
      </c>
      <c r="AE29" s="190"/>
      <c r="AF29" s="184">
        <f t="shared" si="19"/>
        <v>1.1908198465419266</v>
      </c>
      <c r="AG29"/>
      <c r="AH29"/>
      <c r="AI29"/>
      <c r="AJ29"/>
      <c r="AK29"/>
      <c r="AL29"/>
      <c r="AM29"/>
      <c r="AN29"/>
      <c r="AO29"/>
      <c r="AP29"/>
      <c r="AQ29"/>
      <c r="AR29"/>
    </row>
    <row r="30" spans="2:44" ht="16.5" hidden="1" thickBot="1" x14ac:dyDescent="0.45">
      <c r="B30" s="189" t="s">
        <v>135</v>
      </c>
      <c r="C30" s="190">
        <f>+C29</f>
        <v>0</v>
      </c>
      <c r="D30" s="190">
        <f>+D29*2.71428571428571</f>
        <v>0.1987400067333748</v>
      </c>
      <c r="E30" s="190">
        <f>E29</f>
        <v>0.16699990440548507</v>
      </c>
      <c r="F30" s="190">
        <f>F29</f>
        <v>0.14930000323915299</v>
      </c>
      <c r="G30" s="190">
        <f>G29</f>
        <v>0.14000000000000001</v>
      </c>
      <c r="H30" s="190">
        <f>H29</f>
        <v>0.13199993995716419</v>
      </c>
      <c r="I30" s="190">
        <f>I29</f>
        <v>0.14000000000000001</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90">
        <v>0</v>
      </c>
      <c r="AD30" s="190">
        <v>0</v>
      </c>
      <c r="AE30" s="190"/>
      <c r="AF30" s="184">
        <f t="shared" si="19"/>
        <v>0.9270398543351771</v>
      </c>
      <c r="AG30"/>
      <c r="AH30"/>
      <c r="AI30"/>
      <c r="AJ30"/>
      <c r="AK30"/>
      <c r="AL30"/>
      <c r="AM30"/>
      <c r="AN30"/>
      <c r="AO30"/>
      <c r="AP30"/>
      <c r="AQ30"/>
      <c r="AR30"/>
    </row>
    <row r="31" spans="2:44" ht="16.5" hidden="1" thickBot="1" x14ac:dyDescent="0.45">
      <c r="B31" s="186" t="s">
        <v>136</v>
      </c>
      <c r="C31" s="187">
        <v>0</v>
      </c>
      <c r="D31" s="187">
        <v>0</v>
      </c>
      <c r="E31" s="187">
        <v>126882.17</v>
      </c>
      <c r="F31" s="187">
        <v>113434.26</v>
      </c>
      <c r="G31" s="187">
        <v>106368.35999999999</v>
      </c>
      <c r="H31" s="187">
        <v>100290.11</v>
      </c>
      <c r="I31" s="187">
        <v>106368.36</v>
      </c>
      <c r="J31" s="187">
        <v>0</v>
      </c>
      <c r="K31" s="187">
        <v>0</v>
      </c>
      <c r="L31" s="187">
        <v>0</v>
      </c>
      <c r="M31" s="187">
        <v>0</v>
      </c>
      <c r="N31" s="187">
        <v>0</v>
      </c>
      <c r="O31" s="187">
        <v>0</v>
      </c>
      <c r="P31" s="187">
        <v>0</v>
      </c>
      <c r="Q31" s="187">
        <v>34715.69</v>
      </c>
      <c r="R31" s="187">
        <v>153070.71079999997</v>
      </c>
      <c r="S31" s="187">
        <v>0</v>
      </c>
      <c r="T31" s="187">
        <v>0</v>
      </c>
      <c r="U31" s="187">
        <v>0</v>
      </c>
      <c r="V31" s="187">
        <v>0</v>
      </c>
      <c r="W31" s="187">
        <v>0</v>
      </c>
      <c r="X31" s="187">
        <v>11.439</v>
      </c>
      <c r="Y31" s="187">
        <v>44.28</v>
      </c>
      <c r="Z31" s="187">
        <v>0</v>
      </c>
      <c r="AA31" s="187">
        <v>0</v>
      </c>
      <c r="AB31" s="187">
        <v>0</v>
      </c>
      <c r="AC31" s="187">
        <v>0</v>
      </c>
      <c r="AD31" s="187">
        <v>0</v>
      </c>
      <c r="AE31" s="192"/>
      <c r="AF31" s="184">
        <f t="shared" si="19"/>
        <v>741185.3798</v>
      </c>
      <c r="AG31"/>
      <c r="AH31"/>
      <c r="AI31"/>
      <c r="AJ31"/>
      <c r="AK31"/>
      <c r="AL31"/>
      <c r="AM31"/>
      <c r="AN31"/>
      <c r="AO31"/>
      <c r="AP31"/>
      <c r="AQ31"/>
      <c r="AR31"/>
    </row>
    <row r="32" spans="2:44" ht="16.5" hidden="1" thickBot="1" x14ac:dyDescent="0.45">
      <c r="B32" s="189" t="s">
        <v>137</v>
      </c>
      <c r="C32" s="190">
        <f>+C31/2200000</f>
        <v>0</v>
      </c>
      <c r="D32" s="190">
        <v>0</v>
      </c>
      <c r="E32" s="190">
        <f>+E31/759774</f>
        <v>0.16699988417608394</v>
      </c>
      <c r="F32" s="190">
        <f>+F31/759774</f>
        <v>0.14930000236912555</v>
      </c>
      <c r="G32" s="190">
        <f>+G31/759774</f>
        <v>0.13999999999999999</v>
      </c>
      <c r="H32" s="190">
        <f>+H31/759774</f>
        <v>0.13199992366150987</v>
      </c>
      <c r="I32" s="190">
        <f>+I31/759774</f>
        <v>0.14000000000000001</v>
      </c>
      <c r="J32" s="190">
        <v>0</v>
      </c>
      <c r="K32" s="190">
        <v>0</v>
      </c>
      <c r="L32" s="190">
        <v>0</v>
      </c>
      <c r="M32" s="190">
        <v>0</v>
      </c>
      <c r="N32" s="190">
        <v>0</v>
      </c>
      <c r="O32" s="190">
        <v>0</v>
      </c>
      <c r="P32" s="190">
        <v>0</v>
      </c>
      <c r="Q32" s="190">
        <v>2.590000253660546E-2</v>
      </c>
      <c r="R32" s="190">
        <v>0.1142</v>
      </c>
      <c r="S32" s="190">
        <v>0</v>
      </c>
      <c r="T32" s="190">
        <v>0</v>
      </c>
      <c r="U32" s="190">
        <v>0</v>
      </c>
      <c r="V32" s="190">
        <v>0</v>
      </c>
      <c r="W32" s="190">
        <v>0</v>
      </c>
      <c r="X32" s="190">
        <v>3.1E-2</v>
      </c>
      <c r="Y32" s="190">
        <v>0.12</v>
      </c>
      <c r="Z32" s="190">
        <v>0</v>
      </c>
      <c r="AA32" s="190">
        <v>0</v>
      </c>
      <c r="AB32" s="190">
        <v>0</v>
      </c>
      <c r="AC32" s="190">
        <v>0</v>
      </c>
      <c r="AD32" s="190">
        <v>0</v>
      </c>
      <c r="AE32" s="190"/>
      <c r="AF32" s="184">
        <f t="shared" si="19"/>
        <v>1.019399812743325</v>
      </c>
      <c r="AG32"/>
      <c r="AH32"/>
      <c r="AI32"/>
      <c r="AJ32"/>
      <c r="AK32"/>
      <c r="AL32"/>
      <c r="AM32"/>
      <c r="AN32"/>
      <c r="AO32"/>
      <c r="AP32"/>
      <c r="AQ32"/>
      <c r="AR32"/>
    </row>
    <row r="33" spans="2:44" ht="16.5" hidden="1" thickBot="1" x14ac:dyDescent="0.45">
      <c r="B33" s="189" t="s">
        <v>138</v>
      </c>
      <c r="C33" s="190">
        <f>+C32</f>
        <v>0</v>
      </c>
      <c r="D33" s="190">
        <v>0</v>
      </c>
      <c r="E33" s="190">
        <f>E32</f>
        <v>0.16699988417608394</v>
      </c>
      <c r="F33" s="190">
        <f>F32</f>
        <v>0.14930000236912555</v>
      </c>
      <c r="G33" s="190">
        <f>G32</f>
        <v>0.13999999999999999</v>
      </c>
      <c r="H33" s="190">
        <f>H32</f>
        <v>0.13199992366150987</v>
      </c>
      <c r="I33" s="190">
        <f>I32</f>
        <v>0.14000000000000001</v>
      </c>
      <c r="J33" s="190">
        <v>0</v>
      </c>
      <c r="K33" s="190">
        <v>0</v>
      </c>
      <c r="L33" s="190">
        <v>0</v>
      </c>
      <c r="M33" s="190">
        <v>0</v>
      </c>
      <c r="N33" s="190">
        <v>0</v>
      </c>
      <c r="O33" s="190">
        <v>0</v>
      </c>
      <c r="P33" s="190">
        <v>0</v>
      </c>
      <c r="Q33" s="190"/>
      <c r="R33" s="190"/>
      <c r="S33" s="190">
        <v>0</v>
      </c>
      <c r="T33" s="190">
        <v>0</v>
      </c>
      <c r="U33" s="190">
        <v>0</v>
      </c>
      <c r="V33" s="190">
        <v>0</v>
      </c>
      <c r="W33" s="190">
        <v>0</v>
      </c>
      <c r="X33" s="190">
        <v>0</v>
      </c>
      <c r="Y33" s="190">
        <v>0</v>
      </c>
      <c r="Z33" s="190">
        <v>0</v>
      </c>
      <c r="AA33" s="190">
        <v>0</v>
      </c>
      <c r="AB33" s="190">
        <v>0</v>
      </c>
      <c r="AC33" s="190">
        <v>0</v>
      </c>
      <c r="AD33" s="190">
        <v>0</v>
      </c>
      <c r="AE33" s="190"/>
      <c r="AF33" s="184">
        <f t="shared" si="19"/>
        <v>0.72829981020671941</v>
      </c>
      <c r="AG33"/>
      <c r="AH33"/>
      <c r="AI33"/>
      <c r="AJ33"/>
      <c r="AK33"/>
      <c r="AL33"/>
      <c r="AM33"/>
      <c r="AN33"/>
      <c r="AO33"/>
      <c r="AP33"/>
      <c r="AQ33"/>
      <c r="AR33"/>
    </row>
    <row r="34" spans="2:44" ht="16.5" hidden="1" thickBot="1" x14ac:dyDescent="0.45">
      <c r="B34" s="186" t="s">
        <v>139</v>
      </c>
      <c r="C34" s="187">
        <v>0</v>
      </c>
      <c r="D34" s="187">
        <v>0</v>
      </c>
      <c r="E34" s="187">
        <v>13596.8</v>
      </c>
      <c r="F34" s="187">
        <v>29860</v>
      </c>
      <c r="G34" s="187">
        <v>28000</v>
      </c>
      <c r="H34" s="187">
        <v>26400</v>
      </c>
      <c r="I34" s="187">
        <v>28000</v>
      </c>
      <c r="J34" s="187">
        <v>0</v>
      </c>
      <c r="K34" s="187">
        <v>0</v>
      </c>
      <c r="L34" s="187">
        <v>0</v>
      </c>
      <c r="M34" s="187">
        <v>0</v>
      </c>
      <c r="N34" s="187">
        <v>0</v>
      </c>
      <c r="O34" s="187">
        <v>0</v>
      </c>
      <c r="P34" s="187">
        <v>0</v>
      </c>
      <c r="Q34" s="187">
        <v>0</v>
      </c>
      <c r="R34" s="187">
        <v>0</v>
      </c>
      <c r="S34" s="187">
        <v>0</v>
      </c>
      <c r="T34" s="187">
        <v>0</v>
      </c>
      <c r="U34" s="187">
        <v>0</v>
      </c>
      <c r="V34" s="187">
        <v>0</v>
      </c>
      <c r="W34" s="187">
        <v>0</v>
      </c>
      <c r="X34" s="187">
        <v>0</v>
      </c>
      <c r="Y34" s="187">
        <v>0</v>
      </c>
      <c r="Z34" s="187">
        <v>0</v>
      </c>
      <c r="AA34" s="187">
        <v>0</v>
      </c>
      <c r="AB34" s="187">
        <v>0</v>
      </c>
      <c r="AC34" s="187">
        <v>0</v>
      </c>
      <c r="AD34" s="187">
        <v>0</v>
      </c>
      <c r="AE34" s="192"/>
      <c r="AF34" s="184">
        <f t="shared" si="19"/>
        <v>125856.8</v>
      </c>
      <c r="AG34"/>
      <c r="AH34"/>
      <c r="AI34"/>
      <c r="AJ34"/>
      <c r="AK34"/>
      <c r="AL34"/>
      <c r="AM34"/>
      <c r="AN34"/>
      <c r="AO34"/>
      <c r="AP34"/>
      <c r="AQ34"/>
      <c r="AR34"/>
    </row>
    <row r="35" spans="2:44" ht="16.5" hidden="1" thickBot="1" x14ac:dyDescent="0.45">
      <c r="B35" s="189" t="s">
        <v>140</v>
      </c>
      <c r="C35" s="190">
        <f>+C34/2200000</f>
        <v>0</v>
      </c>
      <c r="D35" s="190">
        <v>0</v>
      </c>
      <c r="E35" s="190">
        <f>+E34/200000</f>
        <v>6.7984000000000003E-2</v>
      </c>
      <c r="F35" s="190">
        <f>+F34/200000</f>
        <v>0.14929999999999999</v>
      </c>
      <c r="G35" s="190">
        <f>+G34/200000</f>
        <v>0.14000000000000001</v>
      </c>
      <c r="H35" s="190">
        <f>+H34/200000</f>
        <v>0.13200000000000001</v>
      </c>
      <c r="I35" s="190">
        <f>+I34/200000</f>
        <v>0.14000000000000001</v>
      </c>
      <c r="J35" s="190">
        <v>0</v>
      </c>
      <c r="K35" s="190">
        <v>0</v>
      </c>
      <c r="L35" s="190">
        <v>0</v>
      </c>
      <c r="M35" s="190">
        <v>0</v>
      </c>
      <c r="N35" s="190">
        <v>0</v>
      </c>
      <c r="O35" s="190">
        <v>0</v>
      </c>
      <c r="P35" s="190">
        <v>0</v>
      </c>
      <c r="Q35" s="190">
        <v>0</v>
      </c>
      <c r="R35" s="190">
        <v>0</v>
      </c>
      <c r="S35" s="190">
        <v>0</v>
      </c>
      <c r="T35" s="190">
        <v>0</v>
      </c>
      <c r="U35" s="190">
        <v>0</v>
      </c>
      <c r="V35" s="190">
        <v>0</v>
      </c>
      <c r="W35" s="190">
        <v>0</v>
      </c>
      <c r="X35" s="190">
        <v>0</v>
      </c>
      <c r="Y35" s="190">
        <v>0</v>
      </c>
      <c r="Z35" s="190">
        <v>0</v>
      </c>
      <c r="AA35" s="190">
        <v>0</v>
      </c>
      <c r="AB35" s="190">
        <v>0</v>
      </c>
      <c r="AC35" s="190">
        <v>0</v>
      </c>
      <c r="AD35" s="190">
        <v>0</v>
      </c>
      <c r="AE35" s="190"/>
      <c r="AF35" s="184">
        <f t="shared" si="19"/>
        <v>0.62928399999999995</v>
      </c>
      <c r="AG35"/>
      <c r="AH35"/>
      <c r="AI35"/>
      <c r="AJ35"/>
      <c r="AK35"/>
      <c r="AL35"/>
      <c r="AM35"/>
      <c r="AN35"/>
      <c r="AO35"/>
      <c r="AP35"/>
      <c r="AQ35"/>
      <c r="AR35"/>
    </row>
    <row r="36" spans="2:44" ht="16.5" hidden="1" thickBot="1" x14ac:dyDescent="0.45">
      <c r="B36" s="189" t="s">
        <v>141</v>
      </c>
      <c r="C36" s="190">
        <f>+C35</f>
        <v>0</v>
      </c>
      <c r="D36" s="190">
        <v>0</v>
      </c>
      <c r="E36" s="190">
        <f>+E35*2.45645864313318</f>
        <v>0.16699988439476612</v>
      </c>
      <c r="F36" s="190">
        <f>+F35</f>
        <v>0.14929999999999999</v>
      </c>
      <c r="G36" s="190">
        <f>+G35</f>
        <v>0.14000000000000001</v>
      </c>
      <c r="H36" s="190">
        <f>+H35</f>
        <v>0.13200000000000001</v>
      </c>
      <c r="I36" s="190">
        <f>+I35</f>
        <v>0.14000000000000001</v>
      </c>
      <c r="J36" s="190">
        <v>0</v>
      </c>
      <c r="K36" s="190">
        <v>0</v>
      </c>
      <c r="L36" s="190">
        <v>0</v>
      </c>
      <c r="M36" s="190">
        <v>0</v>
      </c>
      <c r="N36" s="190">
        <v>0</v>
      </c>
      <c r="O36" s="190">
        <v>0</v>
      </c>
      <c r="P36" s="190">
        <v>0</v>
      </c>
      <c r="Q36" s="190">
        <v>0</v>
      </c>
      <c r="R36" s="190">
        <v>0</v>
      </c>
      <c r="S36" s="190">
        <v>0</v>
      </c>
      <c r="T36" s="190">
        <v>0</v>
      </c>
      <c r="U36" s="190">
        <v>0</v>
      </c>
      <c r="V36" s="190">
        <v>0</v>
      </c>
      <c r="W36" s="190">
        <v>0</v>
      </c>
      <c r="X36" s="190">
        <v>0</v>
      </c>
      <c r="Y36" s="190">
        <v>0</v>
      </c>
      <c r="Z36" s="190">
        <v>0</v>
      </c>
      <c r="AA36" s="190">
        <v>0</v>
      </c>
      <c r="AB36" s="190">
        <v>0</v>
      </c>
      <c r="AC36" s="190">
        <v>0</v>
      </c>
      <c r="AD36" s="190">
        <v>0</v>
      </c>
      <c r="AE36" s="190"/>
      <c r="AF36" s="184">
        <f t="shared" si="19"/>
        <v>0.72829988439476612</v>
      </c>
      <c r="AG36"/>
      <c r="AH36"/>
      <c r="AI36"/>
      <c r="AJ36"/>
      <c r="AK36"/>
      <c r="AL36"/>
      <c r="AM36"/>
      <c r="AN36"/>
      <c r="AO36"/>
      <c r="AP36"/>
      <c r="AQ36"/>
      <c r="AR36"/>
    </row>
    <row r="37" spans="2:44" ht="16.5" hidden="1" thickBot="1" x14ac:dyDescent="0.45">
      <c r="B37" s="186" t="s">
        <v>142</v>
      </c>
      <c r="C37" s="187">
        <v>0</v>
      </c>
      <c r="D37" s="187">
        <v>0</v>
      </c>
      <c r="E37" s="187">
        <v>11994.6</v>
      </c>
      <c r="F37" s="187">
        <v>79203.649999999994</v>
      </c>
      <c r="G37" s="187">
        <v>74270</v>
      </c>
      <c r="H37" s="187">
        <v>70026</v>
      </c>
      <c r="I37" s="187">
        <v>74270</v>
      </c>
      <c r="J37" s="187">
        <v>0</v>
      </c>
      <c r="K37" s="187">
        <v>0</v>
      </c>
      <c r="L37" s="187">
        <v>0</v>
      </c>
      <c r="M37" s="187">
        <v>0</v>
      </c>
      <c r="N37" s="187">
        <v>0</v>
      </c>
      <c r="O37" s="187">
        <v>0</v>
      </c>
      <c r="P37" s="187">
        <v>0</v>
      </c>
      <c r="Q37" s="187">
        <v>0</v>
      </c>
      <c r="R37" s="187">
        <v>0</v>
      </c>
      <c r="S37" s="187">
        <v>0</v>
      </c>
      <c r="T37" s="187">
        <v>0</v>
      </c>
      <c r="U37" s="187">
        <v>0</v>
      </c>
      <c r="V37" s="187">
        <v>0</v>
      </c>
      <c r="W37" s="187">
        <v>0</v>
      </c>
      <c r="X37" s="187">
        <v>0</v>
      </c>
      <c r="Y37" s="187">
        <v>0</v>
      </c>
      <c r="Z37" s="187">
        <v>0</v>
      </c>
      <c r="AA37" s="187">
        <v>0</v>
      </c>
      <c r="AB37" s="187">
        <v>0</v>
      </c>
      <c r="AC37" s="187">
        <v>0</v>
      </c>
      <c r="AD37" s="187">
        <v>0</v>
      </c>
      <c r="AE37" s="192"/>
      <c r="AF37" s="184">
        <f t="shared" si="19"/>
        <v>309764.25</v>
      </c>
      <c r="AG37"/>
      <c r="AH37"/>
      <c r="AI37"/>
      <c r="AJ37"/>
      <c r="AK37"/>
      <c r="AL37"/>
      <c r="AM37"/>
      <c r="AN37"/>
      <c r="AO37"/>
      <c r="AP37"/>
      <c r="AQ37"/>
      <c r="AR37"/>
    </row>
    <row r="38" spans="2:44" ht="16.5" hidden="1" thickBot="1" x14ac:dyDescent="0.45">
      <c r="B38" s="189" t="s">
        <v>143</v>
      </c>
      <c r="C38" s="190">
        <f>+C37/2200000</f>
        <v>0</v>
      </c>
      <c r="D38" s="190">
        <v>0</v>
      </c>
      <c r="E38" s="190">
        <f>+E37/530500</f>
        <v>2.2609990574929312E-2</v>
      </c>
      <c r="F38" s="190">
        <f>+F37/530500</f>
        <v>0.14929999999999999</v>
      </c>
      <c r="G38" s="190">
        <f>+G37/530500</f>
        <v>0.14000000000000001</v>
      </c>
      <c r="H38" s="190">
        <f>+H37/530500</f>
        <v>0.13200000000000001</v>
      </c>
      <c r="I38" s="190">
        <f>+I37/530500</f>
        <v>0.14000000000000001</v>
      </c>
      <c r="J38" s="190">
        <v>0</v>
      </c>
      <c r="K38" s="190">
        <v>0</v>
      </c>
      <c r="L38" s="190">
        <v>0</v>
      </c>
      <c r="M38" s="190">
        <v>0</v>
      </c>
      <c r="N38" s="190">
        <v>0</v>
      </c>
      <c r="O38" s="190">
        <v>0</v>
      </c>
      <c r="P38" s="190">
        <v>0</v>
      </c>
      <c r="Q38" s="190">
        <v>0</v>
      </c>
      <c r="R38" s="190">
        <v>0</v>
      </c>
      <c r="S38" s="190">
        <v>0</v>
      </c>
      <c r="T38" s="190">
        <v>0</v>
      </c>
      <c r="U38" s="190">
        <v>0</v>
      </c>
      <c r="V38" s="190">
        <v>0</v>
      </c>
      <c r="W38" s="190">
        <v>0</v>
      </c>
      <c r="X38" s="190">
        <v>0</v>
      </c>
      <c r="Y38" s="190">
        <v>0</v>
      </c>
      <c r="Z38" s="190">
        <v>0</v>
      </c>
      <c r="AA38" s="190">
        <v>0</v>
      </c>
      <c r="AB38" s="190">
        <v>0</v>
      </c>
      <c r="AC38" s="190">
        <v>0</v>
      </c>
      <c r="AD38" s="190">
        <v>0</v>
      </c>
      <c r="AE38" s="190"/>
      <c r="AF38" s="184">
        <f t="shared" si="19"/>
        <v>0.58390999057492932</v>
      </c>
      <c r="AG38"/>
      <c r="AH38"/>
      <c r="AI38"/>
      <c r="AJ38"/>
      <c r="AK38"/>
      <c r="AL38"/>
      <c r="AM38"/>
      <c r="AN38"/>
      <c r="AO38"/>
      <c r="AP38"/>
      <c r="AQ38"/>
      <c r="AR38"/>
    </row>
    <row r="39" spans="2:44" ht="16.5" hidden="1" thickBot="1" x14ac:dyDescent="0.45">
      <c r="B39" s="189" t="s">
        <v>144</v>
      </c>
      <c r="C39" s="190">
        <f>+C38</f>
        <v>0</v>
      </c>
      <c r="D39" s="190">
        <v>0</v>
      </c>
      <c r="E39" s="190">
        <f>+E38*7.3860507851597</f>
        <v>0.16699853863841008</v>
      </c>
      <c r="F39" s="190">
        <f>+F38</f>
        <v>0.14929999999999999</v>
      </c>
      <c r="G39" s="190">
        <f>+G38</f>
        <v>0.14000000000000001</v>
      </c>
      <c r="H39" s="190">
        <f>+H38</f>
        <v>0.13200000000000001</v>
      </c>
      <c r="I39" s="190">
        <f>+I38</f>
        <v>0.14000000000000001</v>
      </c>
      <c r="J39" s="190">
        <v>0</v>
      </c>
      <c r="K39" s="190">
        <v>0</v>
      </c>
      <c r="L39" s="190">
        <v>0</v>
      </c>
      <c r="M39" s="190">
        <v>0</v>
      </c>
      <c r="N39" s="190">
        <v>0</v>
      </c>
      <c r="O39" s="190">
        <v>0</v>
      </c>
      <c r="P39" s="190">
        <v>0</v>
      </c>
      <c r="Q39" s="190">
        <v>0</v>
      </c>
      <c r="R39" s="190">
        <v>0</v>
      </c>
      <c r="S39" s="190">
        <v>0</v>
      </c>
      <c r="T39" s="190">
        <v>0</v>
      </c>
      <c r="U39" s="190">
        <v>0</v>
      </c>
      <c r="V39" s="190">
        <v>0</v>
      </c>
      <c r="W39" s="190">
        <v>0</v>
      </c>
      <c r="X39" s="190">
        <v>0</v>
      </c>
      <c r="Y39" s="190">
        <v>0</v>
      </c>
      <c r="Z39" s="190">
        <v>0</v>
      </c>
      <c r="AA39" s="190">
        <v>0</v>
      </c>
      <c r="AB39" s="190">
        <v>0</v>
      </c>
      <c r="AC39" s="190">
        <v>0</v>
      </c>
      <c r="AD39" s="190">
        <v>0</v>
      </c>
      <c r="AE39" s="190"/>
      <c r="AF39" s="184">
        <f t="shared" si="19"/>
        <v>0.7282985386384101</v>
      </c>
      <c r="AG39"/>
      <c r="AH39"/>
      <c r="AI39"/>
      <c r="AJ39"/>
      <c r="AK39"/>
      <c r="AL39"/>
      <c r="AM39"/>
      <c r="AN39"/>
      <c r="AO39"/>
      <c r="AP39"/>
      <c r="AQ39"/>
      <c r="AR39"/>
    </row>
    <row r="40" spans="2:44" ht="16.5" hidden="1" thickBot="1" x14ac:dyDescent="0.45">
      <c r="B40" s="186" t="s">
        <v>145</v>
      </c>
      <c r="C40" s="187">
        <v>0</v>
      </c>
      <c r="D40" s="187">
        <v>0</v>
      </c>
      <c r="E40" s="187"/>
      <c r="F40" s="187">
        <v>70842.850000000006</v>
      </c>
      <c r="G40" s="187">
        <v>66430</v>
      </c>
      <c r="H40" s="187">
        <v>62634</v>
      </c>
      <c r="I40" s="187">
        <v>66430</v>
      </c>
      <c r="J40" s="187">
        <v>0</v>
      </c>
      <c r="K40" s="187">
        <v>0</v>
      </c>
      <c r="L40" s="187">
        <v>0</v>
      </c>
      <c r="M40" s="187">
        <v>0</v>
      </c>
      <c r="N40" s="187">
        <v>0</v>
      </c>
      <c r="O40" s="187">
        <v>0</v>
      </c>
      <c r="P40" s="187">
        <v>0</v>
      </c>
      <c r="Q40" s="187">
        <v>0</v>
      </c>
      <c r="R40" s="187">
        <v>0</v>
      </c>
      <c r="S40" s="187">
        <v>0</v>
      </c>
      <c r="T40" s="187">
        <v>0</v>
      </c>
      <c r="U40" s="187">
        <v>0</v>
      </c>
      <c r="V40" s="187">
        <v>0</v>
      </c>
      <c r="W40" s="187">
        <v>0</v>
      </c>
      <c r="X40" s="187">
        <v>0</v>
      </c>
      <c r="Y40" s="187">
        <v>0</v>
      </c>
      <c r="Z40" s="187">
        <v>0</v>
      </c>
      <c r="AA40" s="187">
        <v>0</v>
      </c>
      <c r="AB40" s="187">
        <v>0</v>
      </c>
      <c r="AC40" s="187">
        <v>0</v>
      </c>
      <c r="AD40" s="187">
        <v>0</v>
      </c>
      <c r="AE40" s="192"/>
      <c r="AF40" s="184">
        <f t="shared" si="19"/>
        <v>266336.84999999998</v>
      </c>
      <c r="AG40"/>
      <c r="AH40"/>
      <c r="AI40"/>
      <c r="AJ40"/>
      <c r="AK40"/>
      <c r="AL40"/>
      <c r="AM40"/>
      <c r="AN40"/>
      <c r="AO40"/>
      <c r="AP40"/>
      <c r="AQ40"/>
      <c r="AR40"/>
    </row>
    <row r="41" spans="2:44" ht="16.5" hidden="1" thickBot="1" x14ac:dyDescent="0.45">
      <c r="B41" s="189" t="s">
        <v>146</v>
      </c>
      <c r="C41" s="190">
        <f>+C40/2200000</f>
        <v>0</v>
      </c>
      <c r="D41" s="190">
        <v>0</v>
      </c>
      <c r="E41" s="190">
        <f>+E40/530500</f>
        <v>0</v>
      </c>
      <c r="F41" s="190">
        <f>+F40/474500</f>
        <v>0.14930000000000002</v>
      </c>
      <c r="G41" s="190">
        <f>+G40/474500</f>
        <v>0.14000000000000001</v>
      </c>
      <c r="H41" s="190">
        <f>+H40/474500</f>
        <v>0.13200000000000001</v>
      </c>
      <c r="I41" s="190">
        <f>+I40/474500</f>
        <v>0.14000000000000001</v>
      </c>
      <c r="J41" s="190">
        <v>0</v>
      </c>
      <c r="K41" s="190">
        <v>0</v>
      </c>
      <c r="L41" s="190">
        <v>0</v>
      </c>
      <c r="M41" s="190">
        <v>0</v>
      </c>
      <c r="N41" s="190">
        <v>0</v>
      </c>
      <c r="O41" s="190">
        <v>0</v>
      </c>
      <c r="P41" s="190">
        <v>0</v>
      </c>
      <c r="Q41" s="190">
        <v>0</v>
      </c>
      <c r="R41" s="190">
        <v>0</v>
      </c>
      <c r="S41" s="190">
        <v>0</v>
      </c>
      <c r="T41" s="190">
        <v>0</v>
      </c>
      <c r="U41" s="190">
        <v>0</v>
      </c>
      <c r="V41" s="190">
        <v>0</v>
      </c>
      <c r="W41" s="190">
        <v>0</v>
      </c>
      <c r="X41" s="190">
        <v>0</v>
      </c>
      <c r="Y41" s="190">
        <v>0</v>
      </c>
      <c r="Z41" s="190">
        <v>0</v>
      </c>
      <c r="AA41" s="190">
        <v>0</v>
      </c>
      <c r="AB41" s="190">
        <v>0</v>
      </c>
      <c r="AC41" s="190">
        <v>0</v>
      </c>
      <c r="AD41" s="190">
        <v>0</v>
      </c>
      <c r="AE41" s="190"/>
      <c r="AF41" s="184">
        <f t="shared" si="19"/>
        <v>0.56130000000000002</v>
      </c>
      <c r="AG41"/>
      <c r="AH41"/>
      <c r="AI41"/>
      <c r="AJ41"/>
      <c r="AK41"/>
      <c r="AL41"/>
      <c r="AM41"/>
      <c r="AN41"/>
      <c r="AO41"/>
      <c r="AP41"/>
      <c r="AQ41"/>
      <c r="AR41"/>
    </row>
    <row r="42" spans="2:44" ht="16.5" hidden="1" thickBot="1" x14ac:dyDescent="0.45">
      <c r="B42" s="189" t="s">
        <v>147</v>
      </c>
      <c r="C42" s="190">
        <f>+C41</f>
        <v>0</v>
      </c>
      <c r="D42" s="190">
        <v>0</v>
      </c>
      <c r="E42" s="190">
        <f>+E41*7.3860507851597</f>
        <v>0</v>
      </c>
      <c r="F42" s="190">
        <f>+F41</f>
        <v>0.14930000000000002</v>
      </c>
      <c r="G42" s="190">
        <f>+G41</f>
        <v>0.14000000000000001</v>
      </c>
      <c r="H42" s="190">
        <f>+H41</f>
        <v>0.13200000000000001</v>
      </c>
      <c r="I42" s="190">
        <f>+I41</f>
        <v>0.14000000000000001</v>
      </c>
      <c r="J42" s="190">
        <v>0</v>
      </c>
      <c r="K42" s="190">
        <v>0</v>
      </c>
      <c r="L42" s="190">
        <v>0</v>
      </c>
      <c r="M42" s="190">
        <v>0</v>
      </c>
      <c r="N42" s="190">
        <v>0</v>
      </c>
      <c r="O42" s="190">
        <v>0</v>
      </c>
      <c r="P42" s="190">
        <v>0</v>
      </c>
      <c r="Q42" s="190">
        <v>0</v>
      </c>
      <c r="R42" s="190">
        <v>0</v>
      </c>
      <c r="S42" s="190">
        <v>0</v>
      </c>
      <c r="T42" s="190">
        <v>0</v>
      </c>
      <c r="U42" s="190">
        <v>0</v>
      </c>
      <c r="V42" s="190">
        <v>0</v>
      </c>
      <c r="W42" s="190">
        <v>0</v>
      </c>
      <c r="X42" s="190">
        <v>0</v>
      </c>
      <c r="Y42" s="190">
        <v>0</v>
      </c>
      <c r="Z42" s="190">
        <v>0</v>
      </c>
      <c r="AA42" s="190">
        <v>0</v>
      </c>
      <c r="AB42" s="190">
        <v>0</v>
      </c>
      <c r="AC42" s="190">
        <v>0</v>
      </c>
      <c r="AD42" s="190">
        <v>0</v>
      </c>
      <c r="AE42" s="190"/>
      <c r="AF42" s="184">
        <f t="shared" si="19"/>
        <v>0.56130000000000002</v>
      </c>
      <c r="AG42"/>
      <c r="AH42"/>
      <c r="AI42"/>
      <c r="AJ42"/>
      <c r="AK42"/>
      <c r="AL42"/>
      <c r="AM42"/>
      <c r="AN42"/>
      <c r="AO42"/>
      <c r="AP42"/>
      <c r="AQ42"/>
      <c r="AR42"/>
    </row>
    <row r="43" spans="2:44" ht="16.5" hidden="1" thickBot="1" x14ac:dyDescent="0.45">
      <c r="B43" s="186" t="s">
        <v>148</v>
      </c>
      <c r="C43" s="187">
        <v>0</v>
      </c>
      <c r="D43" s="187">
        <v>0</v>
      </c>
      <c r="E43" s="187"/>
      <c r="F43" s="187">
        <v>12881</v>
      </c>
      <c r="G43" s="187">
        <v>14000</v>
      </c>
      <c r="H43" s="187">
        <v>13200.0000000001</v>
      </c>
      <c r="I43" s="187">
        <v>14000</v>
      </c>
      <c r="J43" s="187">
        <v>0</v>
      </c>
      <c r="K43" s="187">
        <v>0</v>
      </c>
      <c r="L43" s="187">
        <v>0</v>
      </c>
      <c r="M43" s="187">
        <v>0</v>
      </c>
      <c r="N43" s="187">
        <v>0</v>
      </c>
      <c r="O43" s="187">
        <v>0</v>
      </c>
      <c r="P43" s="187">
        <v>0</v>
      </c>
      <c r="Q43" s="187">
        <v>0</v>
      </c>
      <c r="R43" s="187">
        <v>0</v>
      </c>
      <c r="S43" s="187">
        <v>0</v>
      </c>
      <c r="T43" s="187">
        <v>0</v>
      </c>
      <c r="U43" s="187">
        <v>0</v>
      </c>
      <c r="V43" s="187">
        <v>0</v>
      </c>
      <c r="W43" s="187">
        <v>0</v>
      </c>
      <c r="X43" s="187">
        <v>0</v>
      </c>
      <c r="Y43" s="187">
        <v>0</v>
      </c>
      <c r="Z43" s="187">
        <v>0</v>
      </c>
      <c r="AA43" s="187">
        <v>0</v>
      </c>
      <c r="AB43" s="187">
        <v>0</v>
      </c>
      <c r="AC43" s="187">
        <v>0</v>
      </c>
      <c r="AD43" s="187">
        <v>0</v>
      </c>
      <c r="AE43" s="192"/>
      <c r="AF43" s="184">
        <f t="shared" si="19"/>
        <v>54081.000000000102</v>
      </c>
      <c r="AG43"/>
      <c r="AH43"/>
      <c r="AI43"/>
      <c r="AJ43"/>
      <c r="AK43"/>
      <c r="AL43"/>
      <c r="AM43"/>
      <c r="AN43"/>
      <c r="AO43"/>
      <c r="AP43"/>
      <c r="AQ43"/>
      <c r="AR43"/>
    </row>
    <row r="44" spans="2:44" ht="16.5" hidden="1" thickBot="1" x14ac:dyDescent="0.45">
      <c r="B44" s="189" t="s">
        <v>149</v>
      </c>
      <c r="C44" s="190">
        <f>+C43/2200000</f>
        <v>0</v>
      </c>
      <c r="D44" s="190">
        <v>0</v>
      </c>
      <c r="E44" s="190">
        <f>+E43/530500</f>
        <v>0</v>
      </c>
      <c r="F44" s="190">
        <f>+F43/100000</f>
        <v>0.12881000000000001</v>
      </c>
      <c r="G44" s="190">
        <f>+G43/100000</f>
        <v>0.14000000000000001</v>
      </c>
      <c r="H44" s="190">
        <f>+H43/100000</f>
        <v>0.13200000000000101</v>
      </c>
      <c r="I44" s="190">
        <f>+I43/100000</f>
        <v>0.14000000000000001</v>
      </c>
      <c r="J44" s="190">
        <v>0</v>
      </c>
      <c r="K44" s="190">
        <v>0</v>
      </c>
      <c r="L44" s="190">
        <v>0</v>
      </c>
      <c r="M44" s="190">
        <v>0</v>
      </c>
      <c r="N44" s="190">
        <v>0</v>
      </c>
      <c r="O44" s="190">
        <v>0</v>
      </c>
      <c r="P44" s="190">
        <v>0</v>
      </c>
      <c r="Q44" s="190">
        <v>0</v>
      </c>
      <c r="R44" s="190">
        <v>0</v>
      </c>
      <c r="S44" s="190">
        <v>0</v>
      </c>
      <c r="T44" s="190">
        <v>0</v>
      </c>
      <c r="U44" s="190">
        <v>0</v>
      </c>
      <c r="V44" s="190">
        <v>0</v>
      </c>
      <c r="W44" s="190">
        <v>0</v>
      </c>
      <c r="X44" s="190">
        <v>0</v>
      </c>
      <c r="Y44" s="190">
        <v>0</v>
      </c>
      <c r="Z44" s="190">
        <v>0</v>
      </c>
      <c r="AA44" s="190">
        <v>0</v>
      </c>
      <c r="AB44" s="190">
        <v>0</v>
      </c>
      <c r="AC44" s="190">
        <v>0</v>
      </c>
      <c r="AD44" s="190">
        <v>0</v>
      </c>
      <c r="AE44" s="190"/>
      <c r="AF44" s="184">
        <f t="shared" si="19"/>
        <v>0.54081000000000101</v>
      </c>
      <c r="AG44"/>
      <c r="AH44"/>
      <c r="AI44"/>
      <c r="AJ44"/>
      <c r="AK44"/>
      <c r="AL44"/>
      <c r="AM44"/>
      <c r="AN44"/>
      <c r="AO44"/>
      <c r="AP44"/>
      <c r="AQ44"/>
      <c r="AR44"/>
    </row>
    <row r="45" spans="2:44" ht="16.5" hidden="1" thickBot="1" x14ac:dyDescent="0.45">
      <c r="B45" s="189" t="s">
        <v>150</v>
      </c>
      <c r="C45" s="190">
        <f>+C44</f>
        <v>0</v>
      </c>
      <c r="D45" s="190">
        <v>0</v>
      </c>
      <c r="E45" s="190">
        <f>+E44*7.3860507851597</f>
        <v>0</v>
      </c>
      <c r="F45" s="190">
        <f>(+F44)*1.15907150065989</f>
        <v>0.14930000000000043</v>
      </c>
      <c r="G45" s="190">
        <f>(+G44)*1.15907150065989</f>
        <v>0.16227001009238462</v>
      </c>
      <c r="H45" s="190">
        <f>(+H44)*1.15907150065989</f>
        <v>0.15299743808710664</v>
      </c>
      <c r="I45" s="190">
        <f>I44</f>
        <v>0.14000000000000001</v>
      </c>
      <c r="J45" s="190">
        <v>0</v>
      </c>
      <c r="K45" s="190">
        <v>0</v>
      </c>
      <c r="L45" s="190">
        <v>0</v>
      </c>
      <c r="M45" s="190">
        <v>0</v>
      </c>
      <c r="N45" s="190">
        <v>0</v>
      </c>
      <c r="O45" s="190">
        <v>0</v>
      </c>
      <c r="P45" s="190">
        <v>0</v>
      </c>
      <c r="Q45" s="190">
        <v>0</v>
      </c>
      <c r="R45" s="190">
        <v>0</v>
      </c>
      <c r="S45" s="190">
        <v>0</v>
      </c>
      <c r="T45" s="190">
        <v>0</v>
      </c>
      <c r="U45" s="190">
        <v>0</v>
      </c>
      <c r="V45" s="190">
        <v>0</v>
      </c>
      <c r="W45" s="190">
        <v>0</v>
      </c>
      <c r="X45" s="190">
        <v>0</v>
      </c>
      <c r="Y45" s="190">
        <v>0</v>
      </c>
      <c r="Z45" s="190">
        <v>0</v>
      </c>
      <c r="AA45" s="190">
        <v>0</v>
      </c>
      <c r="AB45" s="190">
        <v>0</v>
      </c>
      <c r="AC45" s="190">
        <v>0</v>
      </c>
      <c r="AD45" s="190">
        <v>0</v>
      </c>
      <c r="AE45" s="190"/>
      <c r="AF45" s="184">
        <f t="shared" si="19"/>
        <v>0.60456744817949171</v>
      </c>
      <c r="AG45"/>
      <c r="AH45"/>
      <c r="AI45"/>
      <c r="AJ45"/>
      <c r="AK45"/>
      <c r="AL45"/>
      <c r="AM45"/>
      <c r="AN45"/>
      <c r="AO45"/>
      <c r="AP45"/>
      <c r="AQ45"/>
      <c r="AR45"/>
    </row>
    <row r="46" spans="2:44" ht="16.5" hidden="1" thickBot="1" x14ac:dyDescent="0.45">
      <c r="B46" s="186" t="s">
        <v>151</v>
      </c>
      <c r="C46" s="187">
        <v>0</v>
      </c>
      <c r="D46" s="187">
        <v>0</v>
      </c>
      <c r="E46" s="187"/>
      <c r="F46" s="187">
        <v>8908.4500000000007</v>
      </c>
      <c r="G46" s="187">
        <v>98456.8</v>
      </c>
      <c r="H46" s="187">
        <v>124964.4</v>
      </c>
      <c r="I46" s="187">
        <v>132538</v>
      </c>
      <c r="J46" s="187">
        <v>0</v>
      </c>
      <c r="K46" s="187">
        <v>0</v>
      </c>
      <c r="L46" s="187">
        <v>0</v>
      </c>
      <c r="M46" s="187">
        <v>0</v>
      </c>
      <c r="N46" s="187">
        <v>0</v>
      </c>
      <c r="O46" s="187">
        <v>0</v>
      </c>
      <c r="P46" s="187">
        <v>0</v>
      </c>
      <c r="Q46" s="187">
        <v>0</v>
      </c>
      <c r="R46" s="187">
        <v>0</v>
      </c>
      <c r="S46" s="187">
        <v>0</v>
      </c>
      <c r="T46" s="187">
        <v>0</v>
      </c>
      <c r="U46" s="187">
        <v>0</v>
      </c>
      <c r="V46" s="187">
        <v>0</v>
      </c>
      <c r="W46" s="187">
        <v>0</v>
      </c>
      <c r="X46" s="187">
        <v>0</v>
      </c>
      <c r="Y46" s="187">
        <v>0</v>
      </c>
      <c r="Z46" s="187">
        <v>0</v>
      </c>
      <c r="AA46" s="187">
        <v>0</v>
      </c>
      <c r="AB46" s="187">
        <v>0</v>
      </c>
      <c r="AC46" s="187">
        <v>0</v>
      </c>
      <c r="AD46" s="187">
        <v>0</v>
      </c>
      <c r="AE46" s="192"/>
      <c r="AF46" s="184">
        <f t="shared" si="19"/>
        <v>364867.65</v>
      </c>
      <c r="AG46"/>
      <c r="AH46"/>
      <c r="AI46"/>
      <c r="AJ46"/>
      <c r="AK46"/>
      <c r="AL46"/>
      <c r="AM46"/>
      <c r="AN46"/>
      <c r="AO46"/>
      <c r="AP46"/>
      <c r="AQ46"/>
      <c r="AR46"/>
    </row>
    <row r="47" spans="2:44" ht="16.5" hidden="1" thickBot="1" x14ac:dyDescent="0.45">
      <c r="B47" s="189" t="s">
        <v>152</v>
      </c>
      <c r="C47" s="190">
        <f>+C46/2200000</f>
        <v>0</v>
      </c>
      <c r="D47" s="190">
        <v>0</v>
      </c>
      <c r="E47" s="190">
        <f>+E46/530500</f>
        <v>0</v>
      </c>
      <c r="F47" s="190">
        <f>+F46/946700</f>
        <v>9.4100031689025049E-3</v>
      </c>
      <c r="G47" s="190">
        <f>+G46/946700</f>
        <v>0.10400000000000001</v>
      </c>
      <c r="H47" s="190">
        <f>+H46/946700</f>
        <v>0.13200000000000001</v>
      </c>
      <c r="I47" s="190">
        <f>+I46/946700</f>
        <v>0.14000000000000001</v>
      </c>
      <c r="J47" s="190">
        <v>0</v>
      </c>
      <c r="K47" s="190">
        <v>0</v>
      </c>
      <c r="L47" s="190">
        <v>0</v>
      </c>
      <c r="M47" s="190">
        <v>0</v>
      </c>
      <c r="N47" s="190">
        <v>0</v>
      </c>
      <c r="O47" s="190">
        <v>0</v>
      </c>
      <c r="P47" s="190">
        <v>0</v>
      </c>
      <c r="Q47" s="190">
        <v>0</v>
      </c>
      <c r="R47" s="190">
        <v>0</v>
      </c>
      <c r="S47" s="190">
        <v>0</v>
      </c>
      <c r="T47" s="190">
        <v>0</v>
      </c>
      <c r="U47" s="190">
        <v>0</v>
      </c>
      <c r="V47" s="190">
        <v>0</v>
      </c>
      <c r="W47" s="190">
        <v>0</v>
      </c>
      <c r="X47" s="190">
        <v>0</v>
      </c>
      <c r="Y47" s="190">
        <v>0</v>
      </c>
      <c r="Z47" s="190">
        <v>0</v>
      </c>
      <c r="AA47" s="190">
        <v>0</v>
      </c>
      <c r="AB47" s="190">
        <v>0</v>
      </c>
      <c r="AC47" s="190">
        <v>0</v>
      </c>
      <c r="AD47" s="190">
        <v>0</v>
      </c>
      <c r="AE47" s="190"/>
      <c r="AF47" s="184">
        <f t="shared" si="19"/>
        <v>0.3854100031689025</v>
      </c>
      <c r="AG47"/>
      <c r="AH47"/>
      <c r="AI47"/>
      <c r="AJ47"/>
      <c r="AK47"/>
      <c r="AL47"/>
      <c r="AM47"/>
      <c r="AN47"/>
      <c r="AO47"/>
      <c r="AP47"/>
      <c r="AQ47"/>
      <c r="AR47"/>
    </row>
    <row r="48" spans="2:44" ht="16.5" hidden="1" thickBot="1" x14ac:dyDescent="0.45">
      <c r="B48" s="189" t="s">
        <v>153</v>
      </c>
      <c r="C48" s="190">
        <f>+C47</f>
        <v>0</v>
      </c>
      <c r="D48" s="190">
        <v>0</v>
      </c>
      <c r="E48" s="190">
        <f>+E47*7.3860507851597</f>
        <v>0</v>
      </c>
      <c r="F48" s="190">
        <f>(+F47)*11.0520722635494</f>
        <v>0.10400003502293934</v>
      </c>
      <c r="G48" s="190">
        <f>(+G47)*11.0520722635494</f>
        <v>1.1494155154091377</v>
      </c>
      <c r="H48" s="190">
        <f>(+H47)*11.0520722635494</f>
        <v>1.4588735387885208</v>
      </c>
      <c r="I48" s="190">
        <f>I47</f>
        <v>0.14000000000000001</v>
      </c>
      <c r="J48" s="190">
        <v>0</v>
      </c>
      <c r="K48" s="190">
        <v>0</v>
      </c>
      <c r="L48" s="190">
        <v>0</v>
      </c>
      <c r="M48" s="190">
        <v>0</v>
      </c>
      <c r="N48" s="190">
        <v>0</v>
      </c>
      <c r="O48" s="190">
        <v>0</v>
      </c>
      <c r="P48" s="190">
        <v>0</v>
      </c>
      <c r="Q48" s="190">
        <v>0</v>
      </c>
      <c r="R48" s="190">
        <v>0</v>
      </c>
      <c r="S48" s="190">
        <v>0</v>
      </c>
      <c r="T48" s="190">
        <v>0</v>
      </c>
      <c r="U48" s="190">
        <v>0</v>
      </c>
      <c r="V48" s="190">
        <v>0</v>
      </c>
      <c r="W48" s="190">
        <v>0</v>
      </c>
      <c r="X48" s="190">
        <v>0</v>
      </c>
      <c r="Y48" s="190">
        <v>0</v>
      </c>
      <c r="Z48" s="190">
        <v>0</v>
      </c>
      <c r="AA48" s="190">
        <v>0</v>
      </c>
      <c r="AB48" s="190">
        <v>0</v>
      </c>
      <c r="AC48" s="190">
        <v>0</v>
      </c>
      <c r="AD48" s="190">
        <v>0</v>
      </c>
      <c r="AE48" s="190"/>
      <c r="AF48" s="184">
        <f t="shared" si="19"/>
        <v>2.8522890892205979</v>
      </c>
      <c r="AG48"/>
      <c r="AH48"/>
      <c r="AI48"/>
      <c r="AJ48"/>
      <c r="AK48"/>
      <c r="AL48"/>
      <c r="AM48"/>
      <c r="AN48"/>
      <c r="AO48"/>
      <c r="AP48"/>
      <c r="AQ48"/>
      <c r="AR48"/>
    </row>
    <row r="49" spans="2:54" ht="16.5" hidden="1" thickBot="1" x14ac:dyDescent="0.45">
      <c r="B49" s="186" t="s">
        <v>154</v>
      </c>
      <c r="C49" s="187">
        <v>0</v>
      </c>
      <c r="D49" s="187">
        <v>0</v>
      </c>
      <c r="E49" s="187">
        <v>0</v>
      </c>
      <c r="F49" s="187">
        <v>0</v>
      </c>
      <c r="G49" s="187">
        <v>0</v>
      </c>
      <c r="H49" s="187">
        <v>0</v>
      </c>
      <c r="I49" s="187">
        <v>56390.3</v>
      </c>
      <c r="J49" s="187">
        <v>0</v>
      </c>
      <c r="K49" s="187">
        <v>0</v>
      </c>
      <c r="L49" s="187">
        <v>0</v>
      </c>
      <c r="M49" s="187">
        <v>0</v>
      </c>
      <c r="N49" s="187">
        <v>0</v>
      </c>
      <c r="O49" s="187">
        <v>0</v>
      </c>
      <c r="P49" s="187">
        <v>0</v>
      </c>
      <c r="Q49" s="187">
        <v>0</v>
      </c>
      <c r="R49" s="187">
        <v>0</v>
      </c>
      <c r="S49" s="187">
        <v>0</v>
      </c>
      <c r="T49" s="187">
        <v>0</v>
      </c>
      <c r="U49" s="187">
        <v>0</v>
      </c>
      <c r="V49" s="187">
        <v>0</v>
      </c>
      <c r="W49" s="187">
        <v>0</v>
      </c>
      <c r="X49" s="187">
        <v>0</v>
      </c>
      <c r="Y49" s="187">
        <v>0</v>
      </c>
      <c r="Z49" s="187">
        <v>0</v>
      </c>
      <c r="AA49" s="187">
        <v>0</v>
      </c>
      <c r="AB49" s="187">
        <v>0</v>
      </c>
      <c r="AC49" s="187">
        <v>0</v>
      </c>
      <c r="AD49" s="187">
        <v>0</v>
      </c>
      <c r="AE49" s="192"/>
      <c r="AF49" s="184">
        <f t="shared" si="19"/>
        <v>56390.3</v>
      </c>
      <c r="AG49"/>
      <c r="AH49"/>
      <c r="AI49"/>
      <c r="AJ49"/>
      <c r="AK49"/>
      <c r="AL49"/>
      <c r="AM49"/>
      <c r="AN49"/>
      <c r="AO49"/>
      <c r="AP49"/>
      <c r="AQ49"/>
      <c r="AR49"/>
    </row>
    <row r="50" spans="2:54" ht="16.5" hidden="1" thickBot="1" x14ac:dyDescent="0.45">
      <c r="B50" s="189" t="s">
        <v>155</v>
      </c>
      <c r="C50" s="190">
        <f>+C49/2200000</f>
        <v>0</v>
      </c>
      <c r="D50" s="190">
        <v>0</v>
      </c>
      <c r="E50" s="190">
        <v>0</v>
      </c>
      <c r="F50" s="190">
        <v>0</v>
      </c>
      <c r="G50" s="190">
        <v>0</v>
      </c>
      <c r="H50" s="190">
        <v>0</v>
      </c>
      <c r="I50" s="190">
        <f>+I49/1214000</f>
        <v>4.6450000000000005E-2</v>
      </c>
      <c r="J50" s="190">
        <v>0</v>
      </c>
      <c r="K50" s="190">
        <v>0</v>
      </c>
      <c r="L50" s="190">
        <v>0</v>
      </c>
      <c r="M50" s="190">
        <v>0</v>
      </c>
      <c r="N50" s="190">
        <v>0</v>
      </c>
      <c r="O50" s="190">
        <v>0</v>
      </c>
      <c r="P50" s="190">
        <v>0</v>
      </c>
      <c r="Q50" s="190">
        <v>0</v>
      </c>
      <c r="R50" s="190">
        <v>0</v>
      </c>
      <c r="S50" s="190">
        <v>0</v>
      </c>
      <c r="T50" s="190">
        <v>0</v>
      </c>
      <c r="U50" s="190">
        <v>0</v>
      </c>
      <c r="V50" s="190">
        <v>0</v>
      </c>
      <c r="W50" s="190">
        <v>0</v>
      </c>
      <c r="X50" s="190">
        <v>0</v>
      </c>
      <c r="Y50" s="190">
        <v>0</v>
      </c>
      <c r="Z50" s="190">
        <v>0</v>
      </c>
      <c r="AA50" s="190">
        <v>0</v>
      </c>
      <c r="AB50" s="190">
        <v>0</v>
      </c>
      <c r="AC50" s="190">
        <v>0</v>
      </c>
      <c r="AD50" s="190">
        <v>0</v>
      </c>
      <c r="AE50" s="190"/>
      <c r="AF50" s="184">
        <f t="shared" si="19"/>
        <v>4.6450000000000005E-2</v>
      </c>
      <c r="AG50"/>
      <c r="AH50"/>
      <c r="AI50"/>
      <c r="AJ50"/>
      <c r="AK50"/>
      <c r="AL50"/>
      <c r="AM50"/>
      <c r="AN50"/>
      <c r="AO50"/>
      <c r="AP50"/>
      <c r="AQ50"/>
      <c r="AR50"/>
    </row>
    <row r="51" spans="2:54" ht="16.5" hidden="1" thickBot="1" x14ac:dyDescent="0.45">
      <c r="B51" s="189" t="s">
        <v>156</v>
      </c>
      <c r="C51" s="190">
        <f>+C50</f>
        <v>0</v>
      </c>
      <c r="D51" s="190">
        <v>0</v>
      </c>
      <c r="E51" s="190">
        <v>0</v>
      </c>
      <c r="F51" s="190">
        <v>0</v>
      </c>
      <c r="G51" s="190">
        <v>0</v>
      </c>
      <c r="H51" s="190">
        <v>0</v>
      </c>
      <c r="I51" s="190"/>
      <c r="J51" s="190">
        <v>0</v>
      </c>
      <c r="K51" s="190">
        <v>0</v>
      </c>
      <c r="L51" s="190">
        <v>0</v>
      </c>
      <c r="M51" s="190">
        <v>0</v>
      </c>
      <c r="N51" s="190">
        <v>0</v>
      </c>
      <c r="O51" s="190">
        <v>0</v>
      </c>
      <c r="P51" s="190">
        <v>0</v>
      </c>
      <c r="Q51" s="190">
        <v>0</v>
      </c>
      <c r="R51" s="190">
        <v>0</v>
      </c>
      <c r="S51" s="190">
        <v>0</v>
      </c>
      <c r="T51" s="190">
        <v>0</v>
      </c>
      <c r="U51" s="190">
        <v>0</v>
      </c>
      <c r="V51" s="190">
        <v>0</v>
      </c>
      <c r="W51" s="190">
        <v>0</v>
      </c>
      <c r="X51" s="190">
        <v>0</v>
      </c>
      <c r="Y51" s="190">
        <v>0</v>
      </c>
      <c r="Z51" s="190">
        <v>0</v>
      </c>
      <c r="AA51" s="190">
        <v>0</v>
      </c>
      <c r="AB51" s="190">
        <v>0</v>
      </c>
      <c r="AC51" s="190">
        <v>0</v>
      </c>
      <c r="AD51" s="190">
        <v>0</v>
      </c>
      <c r="AE51" s="190"/>
      <c r="AF51" s="184">
        <f t="shared" si="19"/>
        <v>0</v>
      </c>
      <c r="AG51"/>
      <c r="AH51"/>
      <c r="AI51"/>
      <c r="AJ51"/>
      <c r="AK51"/>
      <c r="AL51"/>
      <c r="AM51"/>
      <c r="AN51"/>
      <c r="AO51"/>
      <c r="AP51"/>
      <c r="AQ51"/>
      <c r="AR51"/>
    </row>
    <row r="52" spans="2:54" ht="16.5" hidden="1" thickBot="1" x14ac:dyDescent="0.45">
      <c r="B52" s="186" t="s">
        <v>157</v>
      </c>
      <c r="C52" s="187">
        <v>0</v>
      </c>
      <c r="D52" s="187">
        <v>0</v>
      </c>
      <c r="E52" s="187">
        <v>0</v>
      </c>
      <c r="F52" s="187">
        <v>0</v>
      </c>
      <c r="G52" s="187">
        <v>0</v>
      </c>
      <c r="H52" s="187">
        <v>0</v>
      </c>
      <c r="I52" s="187">
        <v>0</v>
      </c>
      <c r="J52" s="187">
        <v>0</v>
      </c>
      <c r="K52" s="187">
        <v>0</v>
      </c>
      <c r="L52" s="187">
        <v>0</v>
      </c>
      <c r="M52" s="187">
        <v>0</v>
      </c>
      <c r="N52" s="187">
        <v>0</v>
      </c>
      <c r="O52" s="187">
        <v>0</v>
      </c>
      <c r="P52" s="187">
        <v>0</v>
      </c>
      <c r="Q52" s="187">
        <v>0</v>
      </c>
      <c r="R52" s="187">
        <v>0</v>
      </c>
      <c r="S52" s="187">
        <v>0</v>
      </c>
      <c r="T52" s="187">
        <v>0</v>
      </c>
      <c r="U52" s="187">
        <v>0</v>
      </c>
      <c r="V52" s="187">
        <v>0</v>
      </c>
      <c r="W52" s="187">
        <v>0</v>
      </c>
      <c r="X52" s="187">
        <v>1035.47</v>
      </c>
      <c r="Y52" s="187">
        <v>9103.44</v>
      </c>
      <c r="Z52" s="187">
        <v>0</v>
      </c>
      <c r="AA52" s="187">
        <v>0</v>
      </c>
      <c r="AB52" s="187">
        <v>0</v>
      </c>
      <c r="AC52" s="187">
        <v>0</v>
      </c>
      <c r="AD52" s="187">
        <v>0</v>
      </c>
      <c r="AE52" s="192"/>
      <c r="AF52" s="184">
        <f t="shared" si="19"/>
        <v>10138.91</v>
      </c>
      <c r="AG52"/>
      <c r="AH52"/>
      <c r="AI52"/>
      <c r="AJ52"/>
      <c r="AK52"/>
      <c r="AL52"/>
      <c r="AM52"/>
      <c r="AN52"/>
      <c r="AO52"/>
      <c r="AP52"/>
      <c r="AQ52"/>
      <c r="AR52"/>
    </row>
    <row r="53" spans="2:54" ht="16.5" hidden="1" thickBot="1" x14ac:dyDescent="0.45">
      <c r="B53" s="194" t="s">
        <v>158</v>
      </c>
      <c r="C53" s="190">
        <v>0</v>
      </c>
      <c r="D53" s="190">
        <v>0</v>
      </c>
      <c r="E53" s="190">
        <v>0</v>
      </c>
      <c r="F53" s="190">
        <v>0</v>
      </c>
      <c r="G53" s="190">
        <v>0</v>
      </c>
      <c r="H53" s="190">
        <v>0</v>
      </c>
      <c r="I53" s="190">
        <v>0</v>
      </c>
      <c r="J53" s="190">
        <v>0</v>
      </c>
      <c r="K53" s="190">
        <v>0</v>
      </c>
      <c r="L53" s="190">
        <v>0</v>
      </c>
      <c r="M53" s="190">
        <v>0</v>
      </c>
      <c r="N53" s="190">
        <v>0</v>
      </c>
      <c r="O53" s="190">
        <v>0</v>
      </c>
      <c r="P53" s="190">
        <v>0</v>
      </c>
      <c r="Q53" s="190">
        <v>0</v>
      </c>
      <c r="R53" s="190">
        <v>0</v>
      </c>
      <c r="S53" s="190">
        <v>0</v>
      </c>
      <c r="T53" s="190">
        <v>0</v>
      </c>
      <c r="U53" s="190">
        <v>0</v>
      </c>
      <c r="V53" s="190">
        <v>0</v>
      </c>
      <c r="W53" s="190">
        <v>0</v>
      </c>
      <c r="X53" s="190">
        <v>1.3649336953942683E-2</v>
      </c>
      <c r="Y53" s="190">
        <v>0.12</v>
      </c>
      <c r="Z53" s="190">
        <v>0</v>
      </c>
      <c r="AA53" s="190">
        <v>0</v>
      </c>
      <c r="AB53" s="190">
        <v>0</v>
      </c>
      <c r="AC53" s="190">
        <v>0</v>
      </c>
      <c r="AD53" s="190">
        <v>0</v>
      </c>
      <c r="AE53" s="190"/>
      <c r="AF53" s="184">
        <f t="shared" si="19"/>
        <v>0.13364933695394268</v>
      </c>
      <c r="AG53"/>
      <c r="AH53"/>
      <c r="AI53"/>
      <c r="AJ53"/>
      <c r="AK53"/>
      <c r="AL53"/>
      <c r="AM53"/>
      <c r="AN53"/>
      <c r="AO53"/>
      <c r="AP53"/>
      <c r="AQ53"/>
      <c r="AR53"/>
    </row>
    <row r="54" spans="2:54" ht="16.5" hidden="1" thickBot="1" x14ac:dyDescent="0.45">
      <c r="B54" s="186" t="s">
        <v>159</v>
      </c>
      <c r="C54" s="187">
        <v>0</v>
      </c>
      <c r="D54" s="187">
        <v>0</v>
      </c>
      <c r="E54" s="187">
        <v>0</v>
      </c>
      <c r="F54" s="187">
        <v>0</v>
      </c>
      <c r="G54" s="187">
        <v>0</v>
      </c>
      <c r="H54" s="187">
        <v>0</v>
      </c>
      <c r="I54" s="187">
        <v>0</v>
      </c>
      <c r="J54" s="187">
        <v>0</v>
      </c>
      <c r="K54" s="187">
        <v>0</v>
      </c>
      <c r="L54" s="187">
        <v>0</v>
      </c>
      <c r="M54" s="187">
        <v>0</v>
      </c>
      <c r="N54" s="187">
        <v>0</v>
      </c>
      <c r="O54" s="187">
        <v>0</v>
      </c>
      <c r="P54" s="187">
        <v>0</v>
      </c>
      <c r="Q54" s="187">
        <v>0</v>
      </c>
      <c r="R54" s="187">
        <v>0</v>
      </c>
      <c r="S54" s="187">
        <v>0</v>
      </c>
      <c r="T54" s="187">
        <v>0</v>
      </c>
      <c r="U54" s="187">
        <v>0</v>
      </c>
      <c r="V54" s="187">
        <v>0</v>
      </c>
      <c r="W54" s="187">
        <v>0</v>
      </c>
      <c r="X54" s="187">
        <v>0</v>
      </c>
      <c r="Y54" s="187">
        <v>13907.77</v>
      </c>
      <c r="Z54" s="187">
        <v>0</v>
      </c>
      <c r="AA54" s="187">
        <v>0</v>
      </c>
      <c r="AB54" s="187">
        <v>0</v>
      </c>
      <c r="AC54" s="187">
        <v>0</v>
      </c>
      <c r="AD54" s="187">
        <v>0</v>
      </c>
      <c r="AE54" s="192"/>
      <c r="AF54" s="184">
        <f t="shared" si="19"/>
        <v>13907.77</v>
      </c>
      <c r="AG54"/>
      <c r="AH54"/>
      <c r="AI54"/>
      <c r="AJ54"/>
      <c r="AK54"/>
      <c r="AL54"/>
      <c r="AM54"/>
      <c r="AN54"/>
      <c r="AO54"/>
      <c r="AP54"/>
      <c r="AQ54"/>
      <c r="AR54"/>
    </row>
    <row r="55" spans="2:54" ht="16.5" hidden="1" thickBot="1" x14ac:dyDescent="0.45">
      <c r="B55" s="194" t="s">
        <v>160</v>
      </c>
      <c r="C55" s="190">
        <v>0</v>
      </c>
      <c r="D55" s="190">
        <v>0</v>
      </c>
      <c r="E55" s="190">
        <v>0</v>
      </c>
      <c r="F55" s="190">
        <v>0</v>
      </c>
      <c r="G55" s="190">
        <v>0</v>
      </c>
      <c r="H55" s="190">
        <v>0</v>
      </c>
      <c r="I55" s="190">
        <v>0</v>
      </c>
      <c r="J55" s="190">
        <v>0</v>
      </c>
      <c r="K55" s="190">
        <v>0</v>
      </c>
      <c r="L55" s="190">
        <v>0</v>
      </c>
      <c r="M55" s="190">
        <v>0</v>
      </c>
      <c r="N55" s="190">
        <v>0</v>
      </c>
      <c r="O55" s="190">
        <v>0</v>
      </c>
      <c r="P55" s="190">
        <v>0</v>
      </c>
      <c r="Q55" s="190">
        <v>0</v>
      </c>
      <c r="R55" s="190">
        <v>0</v>
      </c>
      <c r="S55" s="190">
        <v>0</v>
      </c>
      <c r="T55" s="190">
        <v>0</v>
      </c>
      <c r="U55" s="190">
        <v>0</v>
      </c>
      <c r="V55" s="190">
        <v>0</v>
      </c>
      <c r="W55" s="190">
        <v>0</v>
      </c>
      <c r="X55" s="190">
        <v>0</v>
      </c>
      <c r="Y55" s="190">
        <v>2.2217092144643912E-2</v>
      </c>
      <c r="Z55" s="190">
        <v>0</v>
      </c>
      <c r="AA55" s="190">
        <v>0</v>
      </c>
      <c r="AB55" s="190">
        <v>0</v>
      </c>
      <c r="AC55" s="190">
        <v>0</v>
      </c>
      <c r="AD55" s="190">
        <v>0</v>
      </c>
      <c r="AE55" s="190"/>
      <c r="AF55" s="184">
        <f t="shared" si="19"/>
        <v>2.2217092144643912E-2</v>
      </c>
      <c r="AG55"/>
      <c r="AH55"/>
      <c r="AI55"/>
      <c r="AJ55"/>
      <c r="AK55"/>
      <c r="AL55"/>
      <c r="AM55"/>
      <c r="AN55"/>
      <c r="AO55"/>
      <c r="AP55"/>
      <c r="AQ55"/>
      <c r="AR55"/>
    </row>
    <row r="56" spans="2:54" ht="16.5" thickBot="1" x14ac:dyDescent="0.45">
      <c r="B56" s="191" t="s">
        <v>161</v>
      </c>
      <c r="C56" s="192">
        <v>0</v>
      </c>
      <c r="D56" s="195">
        <f>+(D27*2200000+D30*1265763)/(2200000+1265763)</f>
        <v>0.16780078359162376</v>
      </c>
      <c r="E56" s="195">
        <f>+(E27*2200000+E30*1265763)/(2200000+1265763)</f>
        <v>0.166999965087053</v>
      </c>
      <c r="F56" s="195">
        <f>+(F27*2200000+F30*1265763+F33*759774+F36*200000+F39*530500+F42*474500+F45*100000)/(2200000+1265763+759774+200000+530500+474500+100000)</f>
        <v>0.14930000106680419</v>
      </c>
      <c r="G56" s="195">
        <f>+(G27*2200000+G30*1265763+G33*759774+G36*200000+G39*530500+G42*474500+G45*100000)/(2200000+1265763+759774+200000+530500+474500+100000)</f>
        <v>0.1404026735576018</v>
      </c>
      <c r="H56" s="195">
        <f>+(H27*2200000+H30*1265763+H33*759774+H36*200000+H39*530500+H42*474500+H45*100000)/(2200000+1265763+759774+200000+530500+474500+100000)</f>
        <v>0.13237963941091266</v>
      </c>
      <c r="I56" s="195">
        <f>+(I27*2200000+I30*1265763+I33*759774+I36*200000+I39*530500+I42*474500+I45*100000)/(2200000+1265763+759774+200000+530500+474500+100000)</f>
        <v>0.14000000000000001</v>
      </c>
      <c r="J56" s="195">
        <v>0.13500000000000001</v>
      </c>
      <c r="K56" s="195">
        <v>0.13</v>
      </c>
      <c r="L56" s="195">
        <v>0.13200000000000001</v>
      </c>
      <c r="M56" s="195">
        <v>0.13</v>
      </c>
      <c r="N56" s="195">
        <v>0.13500000000000001</v>
      </c>
      <c r="O56" s="195">
        <v>0.15</v>
      </c>
      <c r="P56" s="195">
        <v>0.15</v>
      </c>
      <c r="Q56" s="195">
        <v>0.15</v>
      </c>
      <c r="R56" s="195">
        <v>0.14000000000000001</v>
      </c>
      <c r="S56" s="195">
        <v>0.12</v>
      </c>
      <c r="T56" s="195">
        <v>0.122</v>
      </c>
      <c r="U56" s="195">
        <v>0.12</v>
      </c>
      <c r="V56" s="195">
        <v>0.125</v>
      </c>
      <c r="W56" s="195">
        <v>0.125</v>
      </c>
      <c r="X56" s="195">
        <v>0.125</v>
      </c>
      <c r="Y56" s="195">
        <v>0.12</v>
      </c>
      <c r="Z56" s="195">
        <v>0.12</v>
      </c>
      <c r="AA56" s="195">
        <v>0.12</v>
      </c>
      <c r="AB56" s="195">
        <v>0.12</v>
      </c>
      <c r="AC56" s="195">
        <v>0.12</v>
      </c>
      <c r="AD56" s="195">
        <v>0.18</v>
      </c>
      <c r="AE56" s="195"/>
      <c r="AF56" s="184">
        <f>SUM(C56:AD56)</f>
        <v>3.6658830627139962</v>
      </c>
      <c r="AG56"/>
      <c r="AH56"/>
      <c r="AI56"/>
      <c r="AJ56"/>
      <c r="AK56"/>
      <c r="AL56"/>
      <c r="AM56"/>
      <c r="AN56"/>
      <c r="AO56"/>
      <c r="AP56"/>
      <c r="AQ56"/>
      <c r="AR56"/>
      <c r="AY56" s="172"/>
      <c r="AZ56" s="172"/>
      <c r="BB56" s="172"/>
    </row>
    <row r="57" spans="2:54" ht="16.5" thickBot="1" x14ac:dyDescent="0.45">
      <c r="B57" s="196" t="s">
        <v>162</v>
      </c>
      <c r="C57" s="197">
        <v>9.9378798301711484</v>
      </c>
      <c r="D57" s="198">
        <v>10.004285738028182</v>
      </c>
      <c r="E57" s="198">
        <v>10.007638239545456</v>
      </c>
      <c r="F57" s="198">
        <v>10.003371453181828</v>
      </c>
      <c r="G57" s="198">
        <v>10.004796153636379</v>
      </c>
      <c r="H57" s="198">
        <v>10.006208709090972</v>
      </c>
      <c r="I57" s="198">
        <v>10.060323596513186</v>
      </c>
      <c r="J57" s="198">
        <v>9.9378784382338754</v>
      </c>
      <c r="K57" s="198">
        <v>9.9190579099999994</v>
      </c>
      <c r="L57" s="198">
        <v>10.35199066</v>
      </c>
      <c r="M57" s="198">
        <v>10.21160849</v>
      </c>
      <c r="N57" s="198">
        <v>10.204002450000001</v>
      </c>
      <c r="O57" s="198">
        <v>10.21549976</v>
      </c>
      <c r="P57" s="198">
        <v>10.17796968</v>
      </c>
      <c r="Q57" s="198">
        <v>10.231675108095168</v>
      </c>
      <c r="R57" s="198">
        <v>10.15552929</v>
      </c>
      <c r="S57" s="198">
        <v>10.13626857</v>
      </c>
      <c r="T57" s="198">
        <v>10.146031239999999</v>
      </c>
      <c r="U57" s="198">
        <v>10.15066058</v>
      </c>
      <c r="V57" s="198">
        <v>10.15630329</v>
      </c>
      <c r="W57" s="198">
        <v>10.159641608306853</v>
      </c>
      <c r="X57" s="198">
        <v>10.14705861</v>
      </c>
      <c r="Y57" s="198">
        <v>10.149646792589882</v>
      </c>
      <c r="Z57" s="198">
        <v>10.127041348949737</v>
      </c>
      <c r="AA57" s="198">
        <v>10.141540998129909</v>
      </c>
      <c r="AB57" s="198">
        <v>10.100580750000001</v>
      </c>
      <c r="AC57" s="198">
        <v>10.116770114895106</v>
      </c>
      <c r="AD57" s="198">
        <v>10.025908818475084</v>
      </c>
      <c r="AE57" s="198"/>
      <c r="AF57" s="184" t="s">
        <v>77</v>
      </c>
      <c r="AG57"/>
      <c r="AH57"/>
      <c r="AI57"/>
      <c r="AJ57"/>
      <c r="AK57"/>
      <c r="AL57"/>
      <c r="AM57"/>
      <c r="AN57"/>
      <c r="AO57"/>
      <c r="AP57"/>
      <c r="AQ57"/>
      <c r="AR57"/>
      <c r="AY57" s="172"/>
      <c r="AZ57" s="172"/>
      <c r="BB57" s="172"/>
    </row>
    <row r="58" spans="2:54" ht="16.5" thickBot="1" x14ac:dyDescent="0.45">
      <c r="B58" s="182" t="s">
        <v>163</v>
      </c>
      <c r="C58" s="183">
        <v>21863335.626376525</v>
      </c>
      <c r="D58" s="183">
        <v>22009428.25</v>
      </c>
      <c r="E58" s="183">
        <v>22016804.127000004</v>
      </c>
      <c r="F58" s="183">
        <v>22007417.199999999</v>
      </c>
      <c r="G58" s="183">
        <v>22010551.538000032</v>
      </c>
      <c r="H58" s="183">
        <v>22013659.160000138</v>
      </c>
      <c r="I58" s="183">
        <v>50710670.740000159</v>
      </c>
      <c r="J58" s="183">
        <v>104664712.11000003</v>
      </c>
      <c r="K58" s="183">
        <v>104466496.2</v>
      </c>
      <c r="L58" s="183">
        <v>109026099.41</v>
      </c>
      <c r="M58" s="183">
        <v>174729280.75</v>
      </c>
      <c r="N58" s="183">
        <v>174599134.90000001</v>
      </c>
      <c r="O58" s="183">
        <v>174795863.68000001</v>
      </c>
      <c r="P58" s="183">
        <v>174153692.13999999</v>
      </c>
      <c r="Q58" s="183">
        <v>175072637.56</v>
      </c>
      <c r="R58" s="183">
        <v>173769718.06999999</v>
      </c>
      <c r="S58" s="183">
        <v>225803060.11000001</v>
      </c>
      <c r="T58" s="183">
        <v>226020540.50999999</v>
      </c>
      <c r="U58" s="183">
        <v>226123667.19999999</v>
      </c>
      <c r="V58" s="183">
        <v>226249368.28</v>
      </c>
      <c r="W58" s="183">
        <v>226323735.24000004</v>
      </c>
      <c r="X58" s="183">
        <v>226043427.05000001</v>
      </c>
      <c r="Y58" s="183">
        <v>226101083.28999999</v>
      </c>
      <c r="Z58" s="183">
        <v>235639583.08000001</v>
      </c>
      <c r="AA58" s="183">
        <v>235976966.05000001</v>
      </c>
      <c r="AB58" s="183">
        <v>235023888.56</v>
      </c>
      <c r="AC58" s="183">
        <v>235400588.37</v>
      </c>
      <c r="AD58" s="183">
        <v>233286395.59999999</v>
      </c>
      <c r="AE58" s="183"/>
      <c r="AF58" s="184" t="s">
        <v>77</v>
      </c>
      <c r="AG58"/>
      <c r="AH58"/>
      <c r="AI58"/>
      <c r="AJ58"/>
      <c r="AK58"/>
      <c r="AL58"/>
      <c r="AM58"/>
      <c r="AN58"/>
      <c r="AO58"/>
      <c r="AP58"/>
      <c r="AQ58"/>
      <c r="AR58"/>
    </row>
    <row r="59" spans="2:54" ht="16.5" thickBot="1" x14ac:dyDescent="0.45">
      <c r="B59" s="199" t="s">
        <v>181</v>
      </c>
      <c r="C59" s="192">
        <f>+C58</f>
        <v>21863335.626376525</v>
      </c>
      <c r="D59" s="192">
        <f>+D58+1265763*10</f>
        <v>34667058.25</v>
      </c>
      <c r="E59" s="192">
        <v>49331047.127000004</v>
      </c>
      <c r="F59" s="192">
        <v>64309058.200000003</v>
      </c>
      <c r="G59" s="192">
        <v>64312192.538000032</v>
      </c>
      <c r="H59" s="192">
        <f>+G59-G58+H58</f>
        <v>64315300.160000138</v>
      </c>
      <c r="I59" s="192">
        <v>105085638.83</v>
      </c>
      <c r="J59" s="192">
        <v>104664712.11</v>
      </c>
      <c r="K59" s="192">
        <v>104466496.2</v>
      </c>
      <c r="L59" s="192">
        <v>175253977.32999998</v>
      </c>
      <c r="M59" s="192">
        <v>174729280.75</v>
      </c>
      <c r="N59" s="192">
        <v>174599134.90000001</v>
      </c>
      <c r="O59" s="192">
        <v>174795863.68000001</v>
      </c>
      <c r="P59" s="192">
        <v>174153692.13999999</v>
      </c>
      <c r="Q59" s="192">
        <v>198874087.53999999</v>
      </c>
      <c r="R59" s="192">
        <v>225671895.75999999</v>
      </c>
      <c r="S59" s="192">
        <v>225803060.11000001</v>
      </c>
      <c r="T59" s="192">
        <v>226020540.50999999</v>
      </c>
      <c r="U59" s="192">
        <v>226123667.19999999</v>
      </c>
      <c r="V59" s="192">
        <v>226249368.28</v>
      </c>
      <c r="W59" s="192">
        <v>226323735.24000004</v>
      </c>
      <c r="X59" s="192">
        <v>229706110.10600004</v>
      </c>
      <c r="Y59" s="192">
        <v>232514035.51105407</v>
      </c>
      <c r="Z59" s="192">
        <v>235639583.08000001</v>
      </c>
      <c r="AA59" s="192">
        <f>AA58</f>
        <v>235976966.05000001</v>
      </c>
      <c r="AB59" s="192">
        <f>AB58</f>
        <v>235023888.56</v>
      </c>
      <c r="AC59" s="192">
        <v>235400588.37</v>
      </c>
      <c r="AD59" s="192">
        <v>233286395.59999999</v>
      </c>
      <c r="AE59" s="192"/>
      <c r="AF59" s="184" t="s">
        <v>77</v>
      </c>
      <c r="AG59"/>
      <c r="AH59"/>
      <c r="AI59"/>
      <c r="AJ59"/>
      <c r="AK59"/>
      <c r="AL59"/>
      <c r="AM59"/>
      <c r="AN59"/>
      <c r="AO59"/>
      <c r="AP59"/>
      <c r="AQ59"/>
      <c r="AR59"/>
    </row>
    <row r="60" spans="2:54" x14ac:dyDescent="0.4">
      <c r="B60" s="200" t="s">
        <v>182</v>
      </c>
      <c r="C60"/>
      <c r="D60"/>
      <c r="E60"/>
      <c r="F60"/>
      <c r="G60"/>
      <c r="H60"/>
      <c r="I60"/>
      <c r="J60"/>
      <c r="K60"/>
      <c r="L60"/>
      <c r="M60" s="185"/>
      <c r="N60" s="185"/>
      <c r="O60" s="185"/>
      <c r="P60" s="185"/>
      <c r="Q60" s="185"/>
      <c r="R60" s="185"/>
      <c r="S60" s="185"/>
      <c r="T60" s="185"/>
      <c r="U60" s="185"/>
      <c r="V60" s="185"/>
      <c r="W60" s="185"/>
      <c r="X60" s="185"/>
      <c r="Y60" s="185"/>
      <c r="Z60" s="185"/>
      <c r="AA60" s="185"/>
      <c r="AB60" s="185"/>
      <c r="AC60"/>
      <c r="AD60"/>
      <c r="AE60"/>
      <c r="AF60"/>
      <c r="AG60"/>
      <c r="AH60"/>
      <c r="AI60"/>
      <c r="AJ60"/>
      <c r="AK60"/>
      <c r="AL60"/>
      <c r="AM60"/>
      <c r="AN60"/>
      <c r="AO60"/>
      <c r="AP60"/>
      <c r="AQ60"/>
      <c r="AR60"/>
    </row>
    <row r="61" spans="2:54" x14ac:dyDescent="0.4">
      <c r="C61"/>
      <c r="D61"/>
      <c r="E61"/>
      <c r="F61"/>
      <c r="G61"/>
      <c r="H61"/>
      <c r="I61"/>
      <c r="J61"/>
      <c r="K61"/>
      <c r="L61"/>
      <c r="M61" s="201"/>
      <c r="N61" s="201"/>
      <c r="O61" s="201"/>
      <c r="P61" s="201"/>
      <c r="Q61" s="201"/>
      <c r="R61" s="201"/>
      <c r="S61" s="201"/>
      <c r="T61" s="201"/>
      <c r="U61" s="201"/>
      <c r="V61" s="201"/>
      <c r="W61" s="201"/>
      <c r="X61" s="201"/>
      <c r="Y61" s="201"/>
      <c r="Z61" s="201"/>
      <c r="AA61" s="201"/>
      <c r="AB61" s="201"/>
      <c r="AC61"/>
      <c r="AD61"/>
      <c r="AE61"/>
      <c r="AF61"/>
      <c r="AG61"/>
      <c r="AH61"/>
      <c r="AI61"/>
      <c r="AJ61"/>
      <c r="AK61"/>
      <c r="AL61"/>
      <c r="AM61"/>
      <c r="AN61"/>
      <c r="AO61"/>
      <c r="AP61"/>
      <c r="AQ61"/>
      <c r="AR61"/>
    </row>
    <row r="62" spans="2:54" x14ac:dyDescent="0.4">
      <c r="C62"/>
      <c r="D62"/>
      <c r="E62"/>
      <c r="F62"/>
      <c r="G62"/>
      <c r="H62"/>
      <c r="I62"/>
      <c r="J62"/>
      <c r="K62"/>
      <c r="L62"/>
      <c r="AC62"/>
      <c r="AD62"/>
      <c r="AE62"/>
      <c r="AF62"/>
      <c r="AG62"/>
      <c r="AH62"/>
      <c r="AI62"/>
      <c r="AJ62"/>
      <c r="AK62"/>
      <c r="AL62"/>
      <c r="AM62"/>
      <c r="AN62"/>
      <c r="AO62"/>
      <c r="AP62"/>
      <c r="AQ62"/>
      <c r="AR62"/>
    </row>
    <row r="63" spans="2:54" x14ac:dyDescent="0.4">
      <c r="C63"/>
      <c r="D63"/>
      <c r="E63"/>
      <c r="F63"/>
      <c r="G63"/>
      <c r="H63"/>
      <c r="I63"/>
      <c r="J63"/>
      <c r="K63"/>
      <c r="L63"/>
      <c r="AC63"/>
      <c r="AD63"/>
      <c r="AE63"/>
      <c r="AF63"/>
      <c r="AG63"/>
      <c r="AH63"/>
      <c r="AI63"/>
      <c r="AJ63"/>
      <c r="AK63"/>
      <c r="AL63"/>
      <c r="AM63"/>
      <c r="AN63"/>
      <c r="AO63"/>
      <c r="AP63"/>
      <c r="AQ63"/>
      <c r="AR63"/>
    </row>
    <row r="64" spans="2:54" x14ac:dyDescent="0.4">
      <c r="C64"/>
      <c r="D64"/>
      <c r="E64"/>
      <c r="F64"/>
      <c r="G64"/>
      <c r="H64"/>
      <c r="I64"/>
      <c r="J64"/>
      <c r="K64"/>
      <c r="L64"/>
      <c r="AC64"/>
      <c r="AD64"/>
      <c r="AE64"/>
      <c r="AF64"/>
    </row>
    <row r="65" spans="2:32" x14ac:dyDescent="0.4">
      <c r="C65"/>
      <c r="D65"/>
      <c r="E65"/>
      <c r="F65"/>
      <c r="G65"/>
      <c r="H65"/>
      <c r="I65"/>
      <c r="J65"/>
      <c r="K65"/>
      <c r="L65"/>
      <c r="AC65"/>
      <c r="AD65"/>
      <c r="AE65"/>
      <c r="AF65"/>
    </row>
    <row r="66" spans="2:32" x14ac:dyDescent="0.4">
      <c r="C66"/>
      <c r="D66"/>
      <c r="E66"/>
      <c r="F66"/>
      <c r="G66"/>
      <c r="H66"/>
      <c r="I66"/>
      <c r="J66"/>
      <c r="K66"/>
      <c r="L66"/>
      <c r="AC66"/>
      <c r="AD66"/>
      <c r="AE66"/>
      <c r="AF66"/>
    </row>
    <row r="67" spans="2:32" x14ac:dyDescent="0.4">
      <c r="C67"/>
      <c r="D67"/>
      <c r="E67"/>
      <c r="F67"/>
      <c r="G67"/>
      <c r="H67"/>
      <c r="I67"/>
      <c r="J67"/>
      <c r="K67"/>
      <c r="L67"/>
      <c r="AC67"/>
      <c r="AD67"/>
      <c r="AE67"/>
      <c r="AF67"/>
    </row>
    <row r="68" spans="2:32" x14ac:dyDescent="0.4">
      <c r="C68"/>
      <c r="D68"/>
      <c r="E68"/>
      <c r="F68"/>
      <c r="G68"/>
      <c r="H68"/>
      <c r="I68"/>
      <c r="J68"/>
      <c r="K68"/>
      <c r="L68"/>
      <c r="AC68"/>
      <c r="AD68"/>
      <c r="AE68"/>
      <c r="AF68"/>
    </row>
    <row r="69" spans="2:32" x14ac:dyDescent="0.4">
      <c r="C69"/>
      <c r="D69"/>
      <c r="E69"/>
      <c r="F69"/>
      <c r="G69"/>
      <c r="H69"/>
      <c r="I69"/>
      <c r="J69"/>
      <c r="K69"/>
      <c r="L69"/>
    </row>
    <row r="70" spans="2:32" x14ac:dyDescent="0.4">
      <c r="C70"/>
      <c r="D70"/>
      <c r="E70"/>
      <c r="F70"/>
      <c r="G70"/>
      <c r="H70"/>
      <c r="I70"/>
      <c r="J70"/>
      <c r="K70"/>
      <c r="L70"/>
    </row>
    <row r="71" spans="2:32" x14ac:dyDescent="0.4">
      <c r="C71"/>
      <c r="D71"/>
      <c r="E71"/>
      <c r="F71"/>
      <c r="G71"/>
      <c r="H71"/>
      <c r="I71"/>
      <c r="J71"/>
      <c r="K71"/>
      <c r="L71"/>
    </row>
    <row r="72" spans="2:32" x14ac:dyDescent="0.4">
      <c r="C72"/>
      <c r="D72"/>
      <c r="E72"/>
      <c r="F72"/>
      <c r="G72"/>
      <c r="H72"/>
      <c r="I72"/>
      <c r="J72"/>
      <c r="K72"/>
      <c r="L72"/>
    </row>
    <row r="73" spans="2:32" x14ac:dyDescent="0.4">
      <c r="C73"/>
      <c r="D73"/>
      <c r="E73"/>
      <c r="F73"/>
      <c r="G73"/>
      <c r="H73"/>
      <c r="I73"/>
      <c r="J73"/>
      <c r="K73"/>
      <c r="L73"/>
    </row>
    <row r="74" spans="2:32" x14ac:dyDescent="0.4">
      <c r="C74"/>
      <c r="D74"/>
      <c r="E74"/>
      <c r="F74"/>
      <c r="G74"/>
      <c r="H74"/>
      <c r="I74"/>
      <c r="J74"/>
      <c r="K74"/>
      <c r="L74"/>
    </row>
    <row r="76" spans="2:32" x14ac:dyDescent="0.4">
      <c r="B76"/>
      <c r="C76"/>
      <c r="D76"/>
      <c r="E76"/>
      <c r="F76"/>
      <c r="G76"/>
      <c r="H76"/>
      <c r="I76"/>
      <c r="J76"/>
      <c r="K76"/>
      <c r="L76"/>
      <c r="M76"/>
      <c r="N76"/>
      <c r="O76"/>
      <c r="P76"/>
    </row>
    <row r="77" spans="2:32" x14ac:dyDescent="0.4">
      <c r="B77"/>
      <c r="C77"/>
      <c r="D77"/>
      <c r="E77"/>
      <c r="F77"/>
      <c r="G77"/>
      <c r="H77"/>
      <c r="I77"/>
      <c r="J77"/>
      <c r="K77"/>
      <c r="L77"/>
      <c r="M77"/>
      <c r="N77"/>
      <c r="O77"/>
      <c r="P77"/>
    </row>
    <row r="78" spans="2:32" x14ac:dyDescent="0.4">
      <c r="B78"/>
      <c r="C78"/>
      <c r="D78"/>
      <c r="E78"/>
      <c r="F78"/>
      <c r="G78"/>
      <c r="H78"/>
      <c r="I78"/>
      <c r="J78"/>
      <c r="K78"/>
      <c r="L78"/>
      <c r="M78"/>
      <c r="N78"/>
      <c r="O78"/>
      <c r="P78"/>
    </row>
    <row r="79" spans="2:32" x14ac:dyDescent="0.4">
      <c r="B79"/>
      <c r="C79"/>
      <c r="D79"/>
      <c r="E79"/>
      <c r="F79"/>
      <c r="G79"/>
      <c r="H79"/>
      <c r="I79"/>
      <c r="J79"/>
      <c r="K79"/>
      <c r="L79"/>
      <c r="M79"/>
      <c r="N79"/>
      <c r="O79"/>
      <c r="P79"/>
    </row>
    <row r="80" spans="2:32" x14ac:dyDescent="0.4">
      <c r="B80"/>
      <c r="C80"/>
      <c r="D80"/>
      <c r="E80"/>
      <c r="F80"/>
      <c r="G80"/>
      <c r="H80"/>
      <c r="I80"/>
      <c r="J80"/>
      <c r="K80"/>
      <c r="L80"/>
      <c r="M80"/>
      <c r="N80"/>
      <c r="O80"/>
      <c r="P80"/>
    </row>
    <row r="81" spans="2:16" x14ac:dyDescent="0.4">
      <c r="B81"/>
      <c r="C81"/>
      <c r="D81"/>
      <c r="E81"/>
      <c r="F81"/>
      <c r="G81"/>
      <c r="H81"/>
      <c r="I81"/>
      <c r="J81"/>
      <c r="K81"/>
      <c r="L81"/>
      <c r="M81"/>
      <c r="N81"/>
      <c r="O81"/>
      <c r="P81"/>
    </row>
    <row r="82" spans="2:16" x14ac:dyDescent="0.4">
      <c r="B82"/>
      <c r="C82"/>
      <c r="D82"/>
      <c r="E82"/>
      <c r="F82"/>
      <c r="G82"/>
      <c r="H82"/>
      <c r="I82"/>
      <c r="J82"/>
      <c r="K82"/>
      <c r="L82"/>
      <c r="M82"/>
      <c r="N82"/>
      <c r="O82"/>
      <c r="P82"/>
    </row>
    <row r="83" spans="2:16" x14ac:dyDescent="0.4">
      <c r="B83"/>
      <c r="C83"/>
      <c r="D83"/>
      <c r="E83"/>
      <c r="F83"/>
      <c r="G83"/>
      <c r="H83"/>
      <c r="I83"/>
      <c r="J83"/>
      <c r="K83"/>
      <c r="L83"/>
      <c r="M83"/>
      <c r="N83"/>
      <c r="O83"/>
      <c r="P83"/>
    </row>
    <row r="84" spans="2:16" x14ac:dyDescent="0.4">
      <c r="B84"/>
      <c r="C84"/>
      <c r="D84"/>
      <c r="E84"/>
      <c r="F84"/>
      <c r="G84"/>
      <c r="H84"/>
      <c r="I84"/>
      <c r="J84"/>
      <c r="K84"/>
      <c r="L84"/>
      <c r="M84"/>
      <c r="N84"/>
      <c r="O84"/>
      <c r="P84"/>
    </row>
    <row r="85" spans="2:16" x14ac:dyDescent="0.4">
      <c r="B85"/>
      <c r="C85"/>
      <c r="D85"/>
      <c r="E85"/>
      <c r="F85"/>
      <c r="G85"/>
      <c r="H85"/>
      <c r="I85"/>
      <c r="J85"/>
      <c r="K85"/>
      <c r="L85"/>
      <c r="M85"/>
      <c r="N85"/>
      <c r="O85"/>
      <c r="P85"/>
    </row>
    <row r="86" spans="2:16" x14ac:dyDescent="0.4">
      <c r="B86"/>
      <c r="C86"/>
      <c r="D86"/>
      <c r="E86"/>
      <c r="F86"/>
      <c r="G86"/>
      <c r="H86"/>
      <c r="I86"/>
      <c r="J86"/>
      <c r="K86"/>
      <c r="L86"/>
      <c r="M86"/>
      <c r="N86"/>
      <c r="O86"/>
      <c r="P86"/>
    </row>
    <row r="87" spans="2:16" x14ac:dyDescent="0.4">
      <c r="B87"/>
      <c r="C87"/>
      <c r="D87"/>
      <c r="E87"/>
      <c r="F87"/>
      <c r="G87"/>
      <c r="H87"/>
      <c r="I87"/>
      <c r="J87"/>
      <c r="K87"/>
      <c r="L87"/>
      <c r="M87"/>
      <c r="N87"/>
      <c r="O87"/>
      <c r="P87"/>
    </row>
    <row r="88" spans="2:16" x14ac:dyDescent="0.4">
      <c r="B88"/>
      <c r="C88"/>
      <c r="D88"/>
      <c r="E88"/>
      <c r="F88"/>
      <c r="G88"/>
      <c r="H88"/>
      <c r="I88"/>
      <c r="J88"/>
      <c r="K88"/>
      <c r="L88"/>
      <c r="M88"/>
      <c r="N88"/>
      <c r="O88"/>
      <c r="P88"/>
    </row>
    <row r="89" spans="2:16" x14ac:dyDescent="0.4">
      <c r="B89"/>
      <c r="C89"/>
      <c r="D89"/>
      <c r="E89"/>
      <c r="F89"/>
      <c r="G89"/>
      <c r="H89"/>
      <c r="I89"/>
      <c r="J89"/>
      <c r="K89"/>
      <c r="L89"/>
      <c r="M89"/>
      <c r="N89"/>
      <c r="O89"/>
      <c r="P89"/>
    </row>
    <row r="90" spans="2:16" x14ac:dyDescent="0.4">
      <c r="B90"/>
      <c r="C90"/>
      <c r="D90"/>
      <c r="E90"/>
      <c r="F90"/>
      <c r="G90"/>
      <c r="H90"/>
      <c r="I90"/>
      <c r="J90"/>
      <c r="K90"/>
      <c r="L90"/>
      <c r="M90"/>
      <c r="N90"/>
      <c r="O90"/>
      <c r="P90"/>
    </row>
    <row r="91" spans="2:16" x14ac:dyDescent="0.4">
      <c r="B91"/>
      <c r="C91"/>
      <c r="D91"/>
      <c r="E91"/>
      <c r="F91"/>
      <c r="G91"/>
      <c r="H91"/>
      <c r="I91"/>
      <c r="J91"/>
      <c r="K91"/>
      <c r="L91"/>
      <c r="M91"/>
      <c r="N91"/>
      <c r="O91"/>
      <c r="P91"/>
    </row>
    <row r="92" spans="2:16" x14ac:dyDescent="0.4">
      <c r="B92"/>
      <c r="C92"/>
      <c r="D92"/>
      <c r="E92"/>
      <c r="F92"/>
      <c r="G92"/>
      <c r="H92"/>
      <c r="I92"/>
      <c r="J92"/>
      <c r="K92"/>
      <c r="L92"/>
      <c r="M92"/>
      <c r="N92"/>
      <c r="O92"/>
      <c r="P92"/>
    </row>
    <row r="93" spans="2:16" x14ac:dyDescent="0.4">
      <c r="B93"/>
      <c r="C93"/>
      <c r="D93"/>
      <c r="E93"/>
      <c r="F93"/>
      <c r="G93"/>
      <c r="H93"/>
      <c r="I93"/>
      <c r="J93"/>
      <c r="K93"/>
      <c r="L93"/>
      <c r="M93"/>
      <c r="N93"/>
      <c r="O93"/>
      <c r="P93"/>
    </row>
    <row r="94" spans="2:16" x14ac:dyDescent="0.4">
      <c r="B94"/>
      <c r="C94"/>
      <c r="D94"/>
      <c r="E94"/>
      <c r="F94"/>
      <c r="G94"/>
      <c r="H94"/>
      <c r="I94"/>
      <c r="J94"/>
      <c r="K94"/>
      <c r="L94"/>
      <c r="M94"/>
      <c r="N94"/>
      <c r="O94"/>
      <c r="P94"/>
    </row>
    <row r="95" spans="2:16" x14ac:dyDescent="0.4">
      <c r="B95"/>
      <c r="C95"/>
      <c r="D95"/>
      <c r="E95"/>
      <c r="F95"/>
      <c r="G95"/>
      <c r="H95"/>
      <c r="I95"/>
      <c r="J95"/>
      <c r="K95"/>
      <c r="L95"/>
      <c r="M95"/>
      <c r="N95"/>
      <c r="O95"/>
      <c r="P95"/>
    </row>
    <row r="96" spans="2:16" x14ac:dyDescent="0.4">
      <c r="B96"/>
      <c r="C96"/>
      <c r="D96"/>
      <c r="E96"/>
      <c r="F96"/>
      <c r="G96"/>
      <c r="H96"/>
      <c r="I96"/>
      <c r="J96"/>
      <c r="K96"/>
      <c r="L96"/>
      <c r="M96"/>
      <c r="N96"/>
      <c r="O96"/>
      <c r="P96"/>
    </row>
    <row r="97" spans="2:16" x14ac:dyDescent="0.4">
      <c r="B97"/>
      <c r="C97"/>
      <c r="D97"/>
      <c r="E97"/>
      <c r="F97"/>
      <c r="G97"/>
      <c r="H97"/>
      <c r="I97"/>
      <c r="J97"/>
      <c r="K97"/>
      <c r="L97"/>
      <c r="M97"/>
      <c r="N97"/>
      <c r="O97"/>
      <c r="P97"/>
    </row>
  </sheetData>
  <mergeCells count="1">
    <mergeCell ref="B2:D3"/>
  </mergeCells>
  <phoneticPr fontId="52" type="noConversion"/>
  <pageMargins left="0.511811024" right="0.511811024" top="0.78740157499999996" bottom="0.78740157499999996" header="0.31496062000000002" footer="0.31496062000000002"/>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zoomScale="90" zoomScaleNormal="90" workbookViewId="0">
      <selection activeCell="J14" sqref="J14"/>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87</v>
      </c>
      <c r="C2" s="50"/>
      <c r="D2" s="50"/>
      <c r="E2" s="50"/>
    </row>
    <row r="3" spans="2:10" s="24" customFormat="1" ht="19.25" customHeight="1" x14ac:dyDescent="0.4"/>
    <row r="4" spans="2:10" ht="16.75" customHeight="1" x14ac:dyDescent="0.4"/>
    <row r="5" spans="2:10" ht="11.4" customHeight="1" x14ac:dyDescent="0.4">
      <c r="D5" s="222" t="s">
        <v>88</v>
      </c>
      <c r="E5" s="222"/>
    </row>
    <row r="6" spans="2:10" ht="27" x14ac:dyDescent="0.4">
      <c r="B6" s="93" t="s">
        <v>89</v>
      </c>
      <c r="C6" s="104"/>
      <c r="D6" s="91" t="s">
        <v>111</v>
      </c>
      <c r="E6" s="92" t="s">
        <v>112</v>
      </c>
      <c r="F6" s="77"/>
    </row>
    <row r="7" spans="2:10" x14ac:dyDescent="0.4">
      <c r="B7" s="78">
        <f>Cálculo!N3</f>
        <v>10.380000000000003</v>
      </c>
      <c r="C7" s="23"/>
      <c r="D7" s="81">
        <f>(1+SUMIFS(Cálculo!$N$1:$V$1,Cálculo!$N$3:$V$3,'Análise Sensibilidade'!B7))/(Cálculo!$K$1)-1</f>
        <v>0.16716261780316399</v>
      </c>
      <c r="E7" s="94">
        <f t="shared" ref="E7:E10" si="0">D7-1.38%</f>
        <v>0.15336261780316399</v>
      </c>
    </row>
    <row r="8" spans="2:10" x14ac:dyDescent="0.4">
      <c r="B8" s="84">
        <f>Cálculo!O3</f>
        <v>10.420000000000002</v>
      </c>
      <c r="C8" s="23"/>
      <c r="D8" s="85">
        <f>(1+SUMIFS(Cálculo!$N$1:$V$1,Cálculo!$N$3:$V$3,'Análise Sensibilidade'!B8))/(Cálculo!$K$1)-1</f>
        <v>0.16565256581687282</v>
      </c>
      <c r="E8" s="95">
        <f t="shared" si="0"/>
        <v>0.15185256581687281</v>
      </c>
    </row>
    <row r="9" spans="2:10" x14ac:dyDescent="0.4">
      <c r="B9" s="79">
        <f>Cálculo!P3</f>
        <v>10.46</v>
      </c>
      <c r="C9" s="23"/>
      <c r="D9" s="81">
        <f>(1+SUMIFS(Cálculo!$N$1:$V$1,Cálculo!$N$3:$V$3,'Análise Sensibilidade'!B9))/(Cálculo!$K$1)-1</f>
        <v>0.16415364607375982</v>
      </c>
      <c r="E9" s="94">
        <f t="shared" si="0"/>
        <v>0.15035364607375981</v>
      </c>
    </row>
    <row r="10" spans="2:10" x14ac:dyDescent="0.4">
      <c r="B10" s="86">
        <f>Cálculo!Q3</f>
        <v>10.5</v>
      </c>
      <c r="C10" s="23"/>
      <c r="D10" s="85">
        <f>(1+SUMIFS(Cálculo!$N$1:$V$1,Cálculo!$N$3:$V$3,'Análise Sensibilidade'!B10))/(Cálculo!$K$1)-1</f>
        <v>0.16266572057081019</v>
      </c>
      <c r="E10" s="95">
        <f t="shared" si="0"/>
        <v>0.14886572057081018</v>
      </c>
    </row>
    <row r="11" spans="2:10" x14ac:dyDescent="0.4">
      <c r="B11" s="101">
        <f>Cálculo!R3</f>
        <v>10.54</v>
      </c>
      <c r="C11" s="100"/>
      <c r="D11" s="102">
        <f>(1+SUMIFS(Cálculo!$N$1:$V$1,Cálculo!$N$3:$V$3,'Análise Sensibilidade'!B11))/(Cálculo!$K$1)-1</f>
        <v>0.16118865130500959</v>
      </c>
      <c r="E11" s="103">
        <f>D11-1.38%</f>
        <v>0.14738865130500958</v>
      </c>
    </row>
    <row r="12" spans="2:10" x14ac:dyDescent="0.4">
      <c r="B12" s="176">
        <f>Cálculo!S3</f>
        <v>10.579999999999998</v>
      </c>
      <c r="C12" s="23"/>
      <c r="D12" s="96">
        <f>(1+SUMIFS(Cálculo!$N$1:$V$1,Cálculo!$N$3:$V$3,'Análise Sensibilidade'!B12))/(Cálculo!$K$1)-1</f>
        <v>0.15972231177359419</v>
      </c>
      <c r="E12" s="85">
        <f>D12-1.38%</f>
        <v>0.14592231177359419</v>
      </c>
      <c r="J12" s="49"/>
    </row>
    <row r="13" spans="2:10" x14ac:dyDescent="0.4">
      <c r="B13" s="79">
        <f>Cálculo!T3</f>
        <v>10.619999999999997</v>
      </c>
      <c r="C13" s="23"/>
      <c r="D13" s="97">
        <f>(1+SUMIFS(Cálculo!$N$1:$V$1,Cálculo!$N$3:$V$3,'Análise Sensibilidade'!B13))/(Cálculo!$K$1)-1</f>
        <v>0.15826657547380063</v>
      </c>
      <c r="E13" s="81">
        <f>D13-1.38%</f>
        <v>0.14446657547380062</v>
      </c>
    </row>
    <row r="14" spans="2:10" x14ac:dyDescent="0.4">
      <c r="B14" s="84">
        <f>Cálculo!U3</f>
        <v>10.659999999999997</v>
      </c>
      <c r="C14" s="23"/>
      <c r="D14" s="85">
        <f>(1+SUMIFS(Cálculo!$N$1:$V$1,Cálculo!$N$3:$V$3,'Análise Sensibilidade'!B14))/(Cálculo!$K$1)-1</f>
        <v>0.15682131590286597</v>
      </c>
      <c r="E14" s="95">
        <f>D14-1.38%</f>
        <v>0.14302131590286596</v>
      </c>
    </row>
    <row r="15" spans="2:10" ht="15.65" customHeight="1" x14ac:dyDescent="0.4">
      <c r="B15" s="80">
        <f>Cálculo!V3</f>
        <v>10.699999999999996</v>
      </c>
      <c r="C15" s="23"/>
      <c r="D15" s="81">
        <f>(1+SUMIFS(Cálculo!$N$1:$V$1,Cálculo!$N$3:$V$3,'Análise Sensibilidade'!B15))/(Cálculo!$K$1)-1</f>
        <v>0.15538639505777518</v>
      </c>
      <c r="E15" s="94">
        <f>D15-1.38%</f>
        <v>0.14158639505777518</v>
      </c>
    </row>
    <row r="16" spans="2:10" ht="18.649999999999999" customHeight="1" x14ac:dyDescent="0.4">
      <c r="B16" s="82"/>
      <c r="C16" s="23"/>
      <c r="D16" s="83"/>
      <c r="E16" s="83"/>
    </row>
    <row r="17" spans="1:7" x14ac:dyDescent="0.4">
      <c r="A17" s="76"/>
      <c r="B17" s="90" t="s">
        <v>90</v>
      </c>
      <c r="G17" s="1" t="s">
        <v>110</v>
      </c>
    </row>
    <row r="18" spans="1:7" x14ac:dyDescent="0.4">
      <c r="B18" s="88">
        <v>10.5</v>
      </c>
      <c r="C18" s="89"/>
      <c r="D18" s="98">
        <f>(1+Cálculo!W1)/Cálculo!K1-1</f>
        <v>0.16266572057081019</v>
      </c>
      <c r="E18" s="99">
        <f>D18-1.38%</f>
        <v>0.14886572057081018</v>
      </c>
    </row>
    <row r="19" spans="1:7" x14ac:dyDescent="0.4">
      <c r="D19" s="220" t="s">
        <v>108</v>
      </c>
      <c r="E19" s="220"/>
    </row>
    <row r="20" spans="1:7" ht="16.25" customHeight="1" x14ac:dyDescent="0.4">
      <c r="D20" s="219">
        <f>Cálculo!W1</f>
        <v>0.20519588589668278</v>
      </c>
      <c r="E20" s="219"/>
    </row>
    <row r="21" spans="1:7" x14ac:dyDescent="0.4">
      <c r="F21" s="87"/>
    </row>
    <row r="22" spans="1:7" ht="23.5" customHeight="1" x14ac:dyDescent="0.4">
      <c r="B22" s="105"/>
      <c r="C22" s="105"/>
      <c r="D22" s="221" t="s">
        <v>107</v>
      </c>
      <c r="E22" s="221"/>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E4" sqref="E4:E5"/>
    </sheetView>
  </sheetViews>
  <sheetFormatPr defaultColWidth="8.81640625" defaultRowHeight="16" x14ac:dyDescent="0.4"/>
  <cols>
    <col min="1" max="1" width="12" style="72" customWidth="1"/>
    <col min="2" max="2" width="14.81640625" style="73" customWidth="1"/>
    <col min="3" max="3" width="17.81640625" style="74" bestFit="1" customWidth="1"/>
    <col min="4" max="4" width="19.36328125" style="75" bestFit="1" customWidth="1"/>
    <col min="5" max="6" width="19.36328125" style="73"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101</v>
      </c>
      <c r="B1" s="55"/>
      <c r="C1" s="55"/>
      <c r="D1" s="163"/>
      <c r="E1" s="163"/>
      <c r="F1" s="164"/>
      <c r="G1" s="165"/>
      <c r="H1" s="164"/>
      <c r="I1" s="164"/>
      <c r="J1" s="57">
        <v>0.22181126475334165</v>
      </c>
      <c r="K1" s="165">
        <v>1.0365798737963929</v>
      </c>
      <c r="L1" s="164"/>
      <c r="M1" s="110" t="s">
        <v>102</v>
      </c>
      <c r="N1" s="57">
        <f t="shared" ref="N1:W1" si="0">+XIRR(D7:D205,$A7:$A205)</f>
        <v>0.20985727906227117</v>
      </c>
      <c r="O1" s="57">
        <f t="shared" si="0"/>
        <v>0.20829198956489567</v>
      </c>
      <c r="P1" s="57">
        <f t="shared" si="0"/>
        <v>0.20673823952674866</v>
      </c>
      <c r="Q1" s="57">
        <f t="shared" si="0"/>
        <v>0.20519588589668278</v>
      </c>
      <c r="R1" s="57">
        <f t="shared" si="0"/>
        <v>0.20366478562355045</v>
      </c>
      <c r="S1" s="57">
        <f t="shared" si="0"/>
        <v>0.20214480757713318</v>
      </c>
      <c r="T1" s="57">
        <f t="shared" si="0"/>
        <v>0.20063582062721258</v>
      </c>
      <c r="U1" s="57">
        <f t="shared" si="0"/>
        <v>0.19913769364356995</v>
      </c>
      <c r="V1" s="57">
        <f t="shared" si="0"/>
        <v>0.19765028357505801</v>
      </c>
      <c r="W1" s="57">
        <f t="shared" si="0"/>
        <v>0.20519588589668278</v>
      </c>
    </row>
    <row r="2" spans="1:23" s="56" customFormat="1" ht="18.5" x14ac:dyDescent="0.4">
      <c r="A2" s="170"/>
      <c r="D2" s="58"/>
      <c r="E2" s="58"/>
      <c r="M2" s="59" t="s">
        <v>103</v>
      </c>
      <c r="N2" s="177">
        <v>10.084053314213804</v>
      </c>
      <c r="O2" s="177">
        <v>10.084053314213804</v>
      </c>
      <c r="P2" s="177">
        <v>10.084053314213804</v>
      </c>
      <c r="Q2" s="177">
        <v>10.084053314213804</v>
      </c>
      <c r="R2" s="177">
        <v>10.084053314213804</v>
      </c>
      <c r="S2" s="177">
        <v>10.084053314213804</v>
      </c>
      <c r="T2" s="177">
        <v>10.084053314213804</v>
      </c>
      <c r="U2" s="177">
        <v>10.084053314213804</v>
      </c>
      <c r="V2" s="177">
        <v>10.084053314213804</v>
      </c>
      <c r="W2" s="177">
        <v>10.084053314213804</v>
      </c>
    </row>
    <row r="3" spans="1:23" s="56" customFormat="1" x14ac:dyDescent="0.35">
      <c r="D3" s="58"/>
      <c r="E3" s="58"/>
      <c r="M3" s="60" t="s">
        <v>104</v>
      </c>
      <c r="N3" s="178">
        <v>10.380000000000003</v>
      </c>
      <c r="O3" s="179">
        <v>10.420000000000002</v>
      </c>
      <c r="P3" s="179">
        <v>10.46</v>
      </c>
      <c r="Q3" s="178">
        <v>10.5</v>
      </c>
      <c r="R3" s="179">
        <v>10.54</v>
      </c>
      <c r="S3" s="180">
        <v>10.579999999999998</v>
      </c>
      <c r="T3" s="181">
        <v>10.619999999999997</v>
      </c>
      <c r="U3" s="181">
        <v>10.659999999999997</v>
      </c>
      <c r="V3" s="180">
        <v>10.699999999999996</v>
      </c>
      <c r="W3" s="62">
        <f>'Análise Sensibilidade'!B18</f>
        <v>10.5</v>
      </c>
    </row>
    <row r="4" spans="1:23" s="66" customFormat="1" x14ac:dyDescent="0.4">
      <c r="A4" s="168"/>
      <c r="B4" s="171">
        <v>45504</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105</v>
      </c>
      <c r="B6" s="24"/>
      <c r="C6" s="167" t="s">
        <v>109</v>
      </c>
      <c r="D6" s="166"/>
      <c r="E6" s="166"/>
      <c r="F6" s="166"/>
      <c r="G6" s="166"/>
      <c r="H6" s="166"/>
      <c r="I6" s="166"/>
      <c r="J6" s="166"/>
      <c r="K6" s="166"/>
      <c r="L6" s="166"/>
      <c r="M6" s="166"/>
    </row>
    <row r="7" spans="1:23" s="61" customFormat="1" ht="18" customHeight="1" x14ac:dyDescent="0.4">
      <c r="A7" s="70">
        <f>EOMONTH(A8-1,0)</f>
        <v>45504</v>
      </c>
      <c r="C7" s="202">
        <v>-117583294.22</v>
      </c>
      <c r="D7" s="67">
        <f>N3/N2*$C7</f>
        <v>-121034127.44587982</v>
      </c>
      <c r="E7" s="67">
        <f>O3/O2*$C7</f>
        <v>-121500540.26840729</v>
      </c>
      <c r="F7" s="67">
        <f t="shared" ref="F7:I7" si="1">P3/P2*$C7</f>
        <v>-121966953.09093474</v>
      </c>
      <c r="G7" s="67">
        <f t="shared" si="1"/>
        <v>-122433365.91346221</v>
      </c>
      <c r="H7" s="67">
        <f t="shared" si="1"/>
        <v>-122899778.73598967</v>
      </c>
      <c r="I7" s="67">
        <f t="shared" si="1"/>
        <v>-123366191.55851713</v>
      </c>
      <c r="J7" s="67">
        <f>T3/T2*$C7</f>
        <v>-123832604.3810446</v>
      </c>
      <c r="K7" s="67">
        <f>U3/U2*$C7</f>
        <v>-124299017.20357208</v>
      </c>
      <c r="L7" s="67">
        <f>V3/V2*$C7</f>
        <v>-124765430.02609955</v>
      </c>
      <c r="M7" s="67">
        <f>W3/W2*$C7</f>
        <v>-122433365.91346221</v>
      </c>
    </row>
    <row r="8" spans="1:23" x14ac:dyDescent="0.4">
      <c r="A8" s="70">
        <f>EOMONTH(B4,0)</f>
        <v>45504</v>
      </c>
      <c r="B8" s="1"/>
      <c r="C8" s="1"/>
      <c r="D8" s="175">
        <v>2395482.4169323999</v>
      </c>
      <c r="E8" s="175">
        <v>2395482.4169323999</v>
      </c>
      <c r="F8" s="175">
        <v>2395482.4169323999</v>
      </c>
      <c r="G8" s="175">
        <v>2395482.4169323999</v>
      </c>
      <c r="H8" s="175">
        <v>2395482.4169323999</v>
      </c>
      <c r="I8" s="175">
        <v>2395482.4169323999</v>
      </c>
      <c r="J8" s="175">
        <v>2395482.4169323999</v>
      </c>
      <c r="K8" s="175">
        <v>2395482.4169323999</v>
      </c>
      <c r="L8" s="175">
        <v>2395482.4169323999</v>
      </c>
      <c r="M8" s="175">
        <v>2395482.4169323999</v>
      </c>
      <c r="N8" s="1"/>
      <c r="O8" s="1"/>
      <c r="P8" s="1"/>
      <c r="Q8" s="1"/>
      <c r="R8" s="1"/>
      <c r="S8" s="1"/>
      <c r="T8" s="1"/>
      <c r="U8" s="1"/>
      <c r="V8" s="1"/>
      <c r="W8" s="1"/>
    </row>
    <row r="9" spans="1:23" x14ac:dyDescent="0.4">
      <c r="A9" s="70">
        <f>EOMONTH(A8+1,0)</f>
        <v>45535</v>
      </c>
      <c r="B9" s="1"/>
      <c r="C9" s="1"/>
      <c r="D9" s="175">
        <v>2889058.8192384304</v>
      </c>
      <c r="E9" s="175">
        <v>2889058.8192384304</v>
      </c>
      <c r="F9" s="175">
        <v>2889058.8192384304</v>
      </c>
      <c r="G9" s="175">
        <v>2889058.8192384304</v>
      </c>
      <c r="H9" s="175">
        <v>2889058.8192384304</v>
      </c>
      <c r="I9" s="175">
        <v>2889058.8192384304</v>
      </c>
      <c r="J9" s="175">
        <v>2889058.8192384304</v>
      </c>
      <c r="K9" s="175">
        <v>2889058.8192384304</v>
      </c>
      <c r="L9" s="175">
        <v>2889058.8192384304</v>
      </c>
      <c r="M9" s="175">
        <v>2889058.8192384304</v>
      </c>
      <c r="N9" s="1"/>
      <c r="O9" s="1"/>
      <c r="P9" s="1"/>
      <c r="Q9" s="1"/>
      <c r="R9" s="1"/>
      <c r="S9" s="1"/>
      <c r="T9" s="1"/>
      <c r="U9" s="1"/>
      <c r="V9" s="1"/>
      <c r="W9" s="1"/>
    </row>
    <row r="10" spans="1:23" x14ac:dyDescent="0.4">
      <c r="A10" s="70">
        <f t="shared" ref="A10:A73" si="2">EOMONTH(A9+1,0)</f>
        <v>45565</v>
      </c>
      <c r="B10" s="1"/>
      <c r="C10" s="1"/>
      <c r="D10" s="175">
        <v>2717125.9994736598</v>
      </c>
      <c r="E10" s="175">
        <v>2717125.9994736598</v>
      </c>
      <c r="F10" s="175">
        <v>2717125.9994736598</v>
      </c>
      <c r="G10" s="175">
        <v>2717125.9994736598</v>
      </c>
      <c r="H10" s="175">
        <v>2717125.9994736598</v>
      </c>
      <c r="I10" s="175">
        <v>2717125.9994736598</v>
      </c>
      <c r="J10" s="175">
        <v>2717125.9994736598</v>
      </c>
      <c r="K10" s="175">
        <v>2717125.9994736598</v>
      </c>
      <c r="L10" s="175">
        <v>2717125.9994736598</v>
      </c>
      <c r="M10" s="175">
        <v>2717125.9994736598</v>
      </c>
      <c r="N10" s="1"/>
      <c r="O10" s="1"/>
      <c r="P10" s="1"/>
      <c r="Q10" s="1"/>
      <c r="R10" s="1"/>
      <c r="S10" s="1"/>
      <c r="T10" s="1"/>
      <c r="U10" s="1"/>
      <c r="V10" s="1"/>
      <c r="W10" s="1"/>
    </row>
    <row r="11" spans="1:23" x14ac:dyDescent="0.4">
      <c r="A11" s="70">
        <f t="shared" si="2"/>
        <v>45596</v>
      </c>
      <c r="B11" s="1"/>
      <c r="C11" s="1"/>
      <c r="D11" s="175">
        <v>2431445.5179803395</v>
      </c>
      <c r="E11" s="175">
        <v>2431445.5179803395</v>
      </c>
      <c r="F11" s="175">
        <v>2431445.5179803395</v>
      </c>
      <c r="G11" s="175">
        <v>2431445.5179803395</v>
      </c>
      <c r="H11" s="175">
        <v>2431445.5179803395</v>
      </c>
      <c r="I11" s="175">
        <v>2431445.5179803395</v>
      </c>
      <c r="J11" s="175">
        <v>2431445.5179803395</v>
      </c>
      <c r="K11" s="175">
        <v>2431445.5179803395</v>
      </c>
      <c r="L11" s="175">
        <v>2431445.5179803395</v>
      </c>
      <c r="M11" s="175">
        <v>2431445.5179803395</v>
      </c>
      <c r="N11" s="1"/>
      <c r="O11" s="1"/>
      <c r="P11" s="1"/>
      <c r="Q11" s="1"/>
      <c r="R11" s="1"/>
      <c r="S11" s="1"/>
      <c r="T11" s="1"/>
      <c r="U11" s="1"/>
      <c r="V11" s="1"/>
      <c r="W11" s="1"/>
    </row>
    <row r="12" spans="1:23" x14ac:dyDescent="0.4">
      <c r="A12" s="70">
        <f t="shared" si="2"/>
        <v>45626</v>
      </c>
      <c r="B12" s="1"/>
      <c r="C12" s="1"/>
      <c r="D12" s="175">
        <v>2384186.1835160297</v>
      </c>
      <c r="E12" s="175">
        <v>2384186.1835160297</v>
      </c>
      <c r="F12" s="175">
        <v>2384186.1835160297</v>
      </c>
      <c r="G12" s="175">
        <v>2384186.1835160297</v>
      </c>
      <c r="H12" s="175">
        <v>2384186.1835160297</v>
      </c>
      <c r="I12" s="175">
        <v>2384186.1835160297</v>
      </c>
      <c r="J12" s="175">
        <v>2384186.1835160297</v>
      </c>
      <c r="K12" s="175">
        <v>2384186.1835160297</v>
      </c>
      <c r="L12" s="175">
        <v>2384186.1835160297</v>
      </c>
      <c r="M12" s="175">
        <v>2384186.1835160297</v>
      </c>
      <c r="O12" s="1"/>
      <c r="P12" s="1"/>
      <c r="Q12" s="1"/>
      <c r="R12" s="1"/>
      <c r="S12" s="1"/>
      <c r="T12" s="1"/>
      <c r="U12" s="1"/>
      <c r="V12" s="1"/>
      <c r="W12" s="1"/>
    </row>
    <row r="13" spans="1:23" x14ac:dyDescent="0.4">
      <c r="A13" s="70">
        <f t="shared" si="2"/>
        <v>45657</v>
      </c>
      <c r="B13" s="1"/>
      <c r="C13" s="71"/>
      <c r="D13" s="175">
        <v>2372455.8641238301</v>
      </c>
      <c r="E13" s="175">
        <v>2372455.8641238301</v>
      </c>
      <c r="F13" s="175">
        <v>2372455.8641238301</v>
      </c>
      <c r="G13" s="175">
        <v>2372455.8641238301</v>
      </c>
      <c r="H13" s="175">
        <v>2372455.8641238301</v>
      </c>
      <c r="I13" s="175">
        <v>2372455.8641238301</v>
      </c>
      <c r="J13" s="175">
        <v>2372455.8641238301</v>
      </c>
      <c r="K13" s="175">
        <v>2372455.8641238301</v>
      </c>
      <c r="L13" s="175">
        <v>2372455.8641238301</v>
      </c>
      <c r="M13" s="175">
        <v>2372455.8641238301</v>
      </c>
      <c r="N13" s="1"/>
      <c r="O13" s="1"/>
      <c r="P13" s="1"/>
      <c r="Q13" s="1"/>
      <c r="R13" s="1"/>
      <c r="S13" s="1"/>
      <c r="T13" s="1"/>
      <c r="U13" s="1"/>
      <c r="V13" s="1"/>
      <c r="W13" s="1"/>
    </row>
    <row r="14" spans="1:23" x14ac:dyDescent="0.4">
      <c r="A14" s="70">
        <f t="shared" si="2"/>
        <v>45688</v>
      </c>
      <c r="B14" s="1"/>
      <c r="C14" s="71"/>
      <c r="D14" s="175">
        <v>2536629.2603152306</v>
      </c>
      <c r="E14" s="175">
        <v>2536629.2603152306</v>
      </c>
      <c r="F14" s="175">
        <v>2536629.2603152306</v>
      </c>
      <c r="G14" s="175">
        <v>2536629.2603152306</v>
      </c>
      <c r="H14" s="175">
        <v>2536629.2603152306</v>
      </c>
      <c r="I14" s="175">
        <v>2536629.2603152306</v>
      </c>
      <c r="J14" s="175">
        <v>2536629.2603152306</v>
      </c>
      <c r="K14" s="175">
        <v>2536629.2603152306</v>
      </c>
      <c r="L14" s="175">
        <v>2536629.2603152306</v>
      </c>
      <c r="M14" s="175">
        <v>2536629.2603152306</v>
      </c>
      <c r="N14" s="1"/>
      <c r="O14" s="1"/>
      <c r="P14" s="1"/>
      <c r="Q14" s="1"/>
      <c r="R14" s="1"/>
      <c r="S14" s="1"/>
      <c r="T14" s="1"/>
      <c r="U14" s="1"/>
      <c r="V14" s="1"/>
      <c r="W14" s="1"/>
    </row>
    <row r="15" spans="1:23" x14ac:dyDescent="0.4">
      <c r="A15" s="70">
        <f t="shared" si="2"/>
        <v>45716</v>
      </c>
      <c r="B15" s="1"/>
      <c r="C15" s="1"/>
      <c r="D15" s="175">
        <v>2645227.4584518499</v>
      </c>
      <c r="E15" s="175">
        <v>2645227.4584518499</v>
      </c>
      <c r="F15" s="175">
        <v>2645227.4584518499</v>
      </c>
      <c r="G15" s="175">
        <v>2645227.4584518499</v>
      </c>
      <c r="H15" s="175">
        <v>2645227.4584518499</v>
      </c>
      <c r="I15" s="175">
        <v>2645227.4584518499</v>
      </c>
      <c r="J15" s="175">
        <v>2645227.4584518499</v>
      </c>
      <c r="K15" s="175">
        <v>2645227.4584518499</v>
      </c>
      <c r="L15" s="175">
        <v>2645227.4584518499</v>
      </c>
      <c r="M15" s="175">
        <v>2645227.4584518499</v>
      </c>
      <c r="N15" s="1"/>
      <c r="O15" s="1"/>
      <c r="P15" s="1"/>
      <c r="Q15" s="1"/>
      <c r="R15" s="1"/>
      <c r="S15" s="1"/>
      <c r="T15" s="1"/>
      <c r="U15" s="1"/>
      <c r="V15" s="1"/>
      <c r="W15" s="1"/>
    </row>
    <row r="16" spans="1:23" x14ac:dyDescent="0.4">
      <c r="A16" s="70">
        <f t="shared" si="2"/>
        <v>45747</v>
      </c>
      <c r="B16" s="1"/>
      <c r="C16" s="1"/>
      <c r="D16" s="175">
        <v>2351865.9652101099</v>
      </c>
      <c r="E16" s="175">
        <v>2351865.9652101099</v>
      </c>
      <c r="F16" s="175">
        <v>2351865.9652101099</v>
      </c>
      <c r="G16" s="175">
        <v>2351865.9652101099</v>
      </c>
      <c r="H16" s="175">
        <v>2351865.9652101099</v>
      </c>
      <c r="I16" s="175">
        <v>2351865.9652101099</v>
      </c>
      <c r="J16" s="175">
        <v>2351865.9652101099</v>
      </c>
      <c r="K16" s="175">
        <v>2351865.9652101099</v>
      </c>
      <c r="L16" s="175">
        <v>2351865.9652101099</v>
      </c>
      <c r="M16" s="175">
        <v>2351865.9652101099</v>
      </c>
      <c r="N16" s="1"/>
      <c r="O16" s="1"/>
      <c r="P16" s="1"/>
      <c r="Q16" s="1"/>
      <c r="R16" s="1"/>
      <c r="S16" s="1"/>
      <c r="T16" s="1"/>
      <c r="U16" s="1"/>
      <c r="V16" s="1"/>
      <c r="W16" s="1"/>
    </row>
    <row r="17" spans="1:23" x14ac:dyDescent="0.4">
      <c r="A17" s="70">
        <f t="shared" si="2"/>
        <v>45777</v>
      </c>
      <c r="B17" s="1"/>
      <c r="C17" s="1"/>
      <c r="D17" s="175">
        <v>2655251.2479554503</v>
      </c>
      <c r="E17" s="175">
        <v>2655251.2479554503</v>
      </c>
      <c r="F17" s="175">
        <v>2655251.2479554503</v>
      </c>
      <c r="G17" s="175">
        <v>2655251.2479554503</v>
      </c>
      <c r="H17" s="175">
        <v>2655251.2479554503</v>
      </c>
      <c r="I17" s="175">
        <v>2655251.2479554503</v>
      </c>
      <c r="J17" s="175">
        <v>2655251.2479554503</v>
      </c>
      <c r="K17" s="175">
        <v>2655251.2479554503</v>
      </c>
      <c r="L17" s="175">
        <v>2655251.2479554503</v>
      </c>
      <c r="M17" s="175">
        <v>2655251.2479554503</v>
      </c>
      <c r="N17" s="1"/>
      <c r="O17" s="1"/>
      <c r="P17" s="1"/>
      <c r="Q17" s="1"/>
      <c r="R17" s="1"/>
      <c r="S17" s="1"/>
      <c r="T17" s="1"/>
      <c r="U17" s="1"/>
      <c r="V17" s="1"/>
      <c r="W17" s="1"/>
    </row>
    <row r="18" spans="1:23" x14ac:dyDescent="0.4">
      <c r="A18" s="70">
        <f t="shared" si="2"/>
        <v>45808</v>
      </c>
      <c r="B18" s="1"/>
      <c r="C18" s="1"/>
      <c r="D18" s="175">
        <v>2491059.3866455597</v>
      </c>
      <c r="E18" s="175">
        <v>2491059.3866455597</v>
      </c>
      <c r="F18" s="175">
        <v>2491059.3866455597</v>
      </c>
      <c r="G18" s="175">
        <v>2491059.3866455597</v>
      </c>
      <c r="H18" s="175">
        <v>2491059.3866455597</v>
      </c>
      <c r="I18" s="175">
        <v>2491059.3866455597</v>
      </c>
      <c r="J18" s="175">
        <v>2491059.3866455597</v>
      </c>
      <c r="K18" s="175">
        <v>2491059.3866455597</v>
      </c>
      <c r="L18" s="175">
        <v>2491059.3866455597</v>
      </c>
      <c r="M18" s="175">
        <v>2491059.3866455597</v>
      </c>
      <c r="N18" s="1"/>
      <c r="O18" s="1"/>
      <c r="P18" s="1"/>
      <c r="Q18" s="1"/>
      <c r="R18" s="1"/>
      <c r="S18" s="1"/>
      <c r="T18" s="1"/>
      <c r="U18" s="1"/>
      <c r="V18" s="1"/>
      <c r="W18" s="1"/>
    </row>
    <row r="19" spans="1:23" x14ac:dyDescent="0.4">
      <c r="A19" s="70">
        <f t="shared" si="2"/>
        <v>45838</v>
      </c>
      <c r="B19" s="1"/>
      <c r="C19" s="1"/>
      <c r="D19" s="175">
        <v>2587198.2482241495</v>
      </c>
      <c r="E19" s="175">
        <v>2587198.2482241495</v>
      </c>
      <c r="F19" s="175">
        <v>2587198.2482241495</v>
      </c>
      <c r="G19" s="175">
        <v>2587198.2482241495</v>
      </c>
      <c r="H19" s="175">
        <v>2587198.2482241495</v>
      </c>
      <c r="I19" s="175">
        <v>2587198.2482241495</v>
      </c>
      <c r="J19" s="175">
        <v>2587198.2482241495</v>
      </c>
      <c r="K19" s="175">
        <v>2587198.2482241495</v>
      </c>
      <c r="L19" s="175">
        <v>2587198.2482241495</v>
      </c>
      <c r="M19" s="175">
        <v>2587198.2482241495</v>
      </c>
      <c r="N19" s="1"/>
      <c r="O19" s="1"/>
      <c r="P19" s="1"/>
      <c r="Q19" s="1"/>
      <c r="R19" s="1"/>
      <c r="S19" s="1"/>
      <c r="T19" s="1"/>
      <c r="U19" s="1"/>
      <c r="V19" s="1"/>
      <c r="W19" s="1"/>
    </row>
    <row r="20" spans="1:23" x14ac:dyDescent="0.4">
      <c r="A20" s="70">
        <f t="shared" si="2"/>
        <v>45869</v>
      </c>
      <c r="B20" s="1"/>
      <c r="C20" s="1"/>
      <c r="D20" s="175">
        <v>2534950.8571733101</v>
      </c>
      <c r="E20" s="175">
        <v>2534950.8571733101</v>
      </c>
      <c r="F20" s="175">
        <v>2534950.8571733101</v>
      </c>
      <c r="G20" s="175">
        <v>2534950.8571733101</v>
      </c>
      <c r="H20" s="175">
        <v>2534950.8571733101</v>
      </c>
      <c r="I20" s="175">
        <v>2534950.8571733101</v>
      </c>
      <c r="J20" s="175">
        <v>2534950.8571733101</v>
      </c>
      <c r="K20" s="175">
        <v>2534950.8571733101</v>
      </c>
      <c r="L20" s="175">
        <v>2534950.8571733101</v>
      </c>
      <c r="M20" s="175">
        <v>2534950.8571733101</v>
      </c>
      <c r="N20" s="1"/>
      <c r="O20" s="1"/>
      <c r="P20" s="1"/>
      <c r="Q20" s="1"/>
      <c r="R20" s="1"/>
      <c r="S20" s="1"/>
      <c r="T20" s="1"/>
      <c r="U20" s="1"/>
      <c r="V20" s="1"/>
      <c r="W20" s="1"/>
    </row>
    <row r="21" spans="1:23" x14ac:dyDescent="0.4">
      <c r="A21" s="70">
        <f t="shared" si="2"/>
        <v>45900</v>
      </c>
      <c r="B21" s="1"/>
      <c r="C21" s="1"/>
      <c r="D21" s="175">
        <v>2571277.1447989899</v>
      </c>
      <c r="E21" s="175">
        <v>2571277.1447989899</v>
      </c>
      <c r="F21" s="175">
        <v>2571277.1447989899</v>
      </c>
      <c r="G21" s="175">
        <v>2571277.1447989899</v>
      </c>
      <c r="H21" s="175">
        <v>2571277.1447989899</v>
      </c>
      <c r="I21" s="175">
        <v>2571277.1447989899</v>
      </c>
      <c r="J21" s="175">
        <v>2571277.1447989899</v>
      </c>
      <c r="K21" s="175">
        <v>2571277.1447989899</v>
      </c>
      <c r="L21" s="175">
        <v>2571277.1447989899</v>
      </c>
      <c r="M21" s="175">
        <v>2571277.1447989899</v>
      </c>
      <c r="N21" s="1"/>
      <c r="O21" s="1"/>
      <c r="P21" s="1"/>
      <c r="Q21" s="1"/>
      <c r="R21" s="1"/>
      <c r="S21" s="1"/>
      <c r="T21" s="1"/>
      <c r="U21" s="1"/>
      <c r="V21" s="1"/>
      <c r="W21" s="1"/>
    </row>
    <row r="22" spans="1:23" x14ac:dyDescent="0.4">
      <c r="A22" s="70">
        <f t="shared" si="2"/>
        <v>45930</v>
      </c>
      <c r="B22" s="1"/>
      <c r="C22" s="1"/>
      <c r="D22" s="175">
        <v>2582082.9826865206</v>
      </c>
      <c r="E22" s="175">
        <v>2582082.9826865206</v>
      </c>
      <c r="F22" s="175">
        <v>2582082.9826865206</v>
      </c>
      <c r="G22" s="175">
        <v>2582082.9826865206</v>
      </c>
      <c r="H22" s="175">
        <v>2582082.9826865206</v>
      </c>
      <c r="I22" s="175">
        <v>2582082.9826865206</v>
      </c>
      <c r="J22" s="175">
        <v>2582082.9826865206</v>
      </c>
      <c r="K22" s="175">
        <v>2582082.9826865206</v>
      </c>
      <c r="L22" s="175">
        <v>2582082.9826865206</v>
      </c>
      <c r="M22" s="175">
        <v>2582082.9826865206</v>
      </c>
      <c r="N22" s="1"/>
      <c r="O22" s="1"/>
      <c r="P22" s="1"/>
      <c r="Q22" s="1"/>
      <c r="R22" s="1"/>
      <c r="S22" s="1"/>
      <c r="T22" s="1"/>
      <c r="U22" s="1"/>
      <c r="V22" s="1"/>
      <c r="W22" s="1"/>
    </row>
    <row r="23" spans="1:23" x14ac:dyDescent="0.4">
      <c r="A23" s="70">
        <f t="shared" si="2"/>
        <v>45961</v>
      </c>
      <c r="B23" s="1"/>
      <c r="C23" s="1"/>
      <c r="D23" s="175">
        <v>2479894.8942985502</v>
      </c>
      <c r="E23" s="175">
        <v>2479894.8942985502</v>
      </c>
      <c r="F23" s="175">
        <v>2479894.8942985502</v>
      </c>
      <c r="G23" s="175">
        <v>2479894.8942985502</v>
      </c>
      <c r="H23" s="175">
        <v>2479894.8942985502</v>
      </c>
      <c r="I23" s="175">
        <v>2479894.8942985502</v>
      </c>
      <c r="J23" s="175">
        <v>2479894.8942985502</v>
      </c>
      <c r="K23" s="175">
        <v>2479894.8942985502</v>
      </c>
      <c r="L23" s="175">
        <v>2479894.8942985502</v>
      </c>
      <c r="M23" s="175">
        <v>2479894.8942985502</v>
      </c>
      <c r="N23" s="1"/>
      <c r="O23" s="1"/>
      <c r="P23" s="1"/>
      <c r="Q23" s="1"/>
      <c r="R23" s="1"/>
      <c r="S23" s="1"/>
      <c r="T23" s="1"/>
      <c r="U23" s="1"/>
      <c r="V23" s="1"/>
      <c r="W23" s="1"/>
    </row>
    <row r="24" spans="1:23" x14ac:dyDescent="0.4">
      <c r="A24" s="70">
        <f t="shared" si="2"/>
        <v>45991</v>
      </c>
      <c r="B24" s="1"/>
      <c r="C24" s="1"/>
      <c r="D24" s="175">
        <v>2565168.1809631097</v>
      </c>
      <c r="E24" s="175">
        <v>2565168.1809631097</v>
      </c>
      <c r="F24" s="175">
        <v>2565168.1809631097</v>
      </c>
      <c r="G24" s="175">
        <v>2565168.1809631097</v>
      </c>
      <c r="H24" s="175">
        <v>2565168.1809631097</v>
      </c>
      <c r="I24" s="175">
        <v>2565168.1809631097</v>
      </c>
      <c r="J24" s="175">
        <v>2565168.1809631097</v>
      </c>
      <c r="K24" s="175">
        <v>2565168.1809631097</v>
      </c>
      <c r="L24" s="175">
        <v>2565168.1809631097</v>
      </c>
      <c r="M24" s="175">
        <v>2565168.1809631097</v>
      </c>
      <c r="N24" s="1"/>
      <c r="O24" s="1"/>
      <c r="P24" s="1"/>
      <c r="Q24" s="1"/>
      <c r="R24" s="1"/>
      <c r="S24" s="1"/>
      <c r="T24" s="1"/>
      <c r="U24" s="1"/>
      <c r="V24" s="1"/>
      <c r="W24" s="1"/>
    </row>
    <row r="25" spans="1:23" x14ac:dyDescent="0.4">
      <c r="A25" s="70">
        <f t="shared" si="2"/>
        <v>46022</v>
      </c>
      <c r="B25" s="1"/>
      <c r="C25" s="1"/>
      <c r="D25" s="175">
        <v>2513913.9190778499</v>
      </c>
      <c r="E25" s="175">
        <v>2513913.9190778499</v>
      </c>
      <c r="F25" s="175">
        <v>2513913.9190778499</v>
      </c>
      <c r="G25" s="175">
        <v>2513913.9190778499</v>
      </c>
      <c r="H25" s="175">
        <v>2513913.9190778499</v>
      </c>
      <c r="I25" s="175">
        <v>2513913.9190778499</v>
      </c>
      <c r="J25" s="175">
        <v>2513913.9190778499</v>
      </c>
      <c r="K25" s="175">
        <v>2513913.9190778499</v>
      </c>
      <c r="L25" s="175">
        <v>2513913.9190778499</v>
      </c>
      <c r="M25" s="175">
        <v>2513913.9190778499</v>
      </c>
      <c r="N25" s="1"/>
      <c r="O25" s="1"/>
      <c r="P25" s="1"/>
      <c r="Q25" s="1"/>
      <c r="R25" s="1"/>
      <c r="S25" s="1"/>
      <c r="T25" s="1"/>
      <c r="U25" s="1"/>
      <c r="V25" s="1"/>
      <c r="W25" s="1"/>
    </row>
    <row r="26" spans="1:23" x14ac:dyDescent="0.4">
      <c r="A26" s="70">
        <f t="shared" si="2"/>
        <v>46053</v>
      </c>
      <c r="B26" s="1"/>
      <c r="C26" s="1"/>
      <c r="D26" s="175">
        <v>2448697.7077861503</v>
      </c>
      <c r="E26" s="175">
        <v>2448697.7077861503</v>
      </c>
      <c r="F26" s="175">
        <v>2448697.7077861503</v>
      </c>
      <c r="G26" s="175">
        <v>2448697.7077861503</v>
      </c>
      <c r="H26" s="175">
        <v>2448697.7077861503</v>
      </c>
      <c r="I26" s="175">
        <v>2448697.7077861503</v>
      </c>
      <c r="J26" s="175">
        <v>2448697.7077861503</v>
      </c>
      <c r="K26" s="175">
        <v>2448697.7077861503</v>
      </c>
      <c r="L26" s="175">
        <v>2448697.7077861503</v>
      </c>
      <c r="M26" s="175">
        <v>2448697.7077861503</v>
      </c>
      <c r="N26" s="1"/>
      <c r="O26" s="1"/>
      <c r="P26" s="1"/>
      <c r="Q26" s="1"/>
      <c r="R26" s="1"/>
      <c r="S26" s="1"/>
      <c r="T26" s="1"/>
      <c r="U26" s="1"/>
      <c r="V26" s="1"/>
      <c r="W26" s="1"/>
    </row>
    <row r="27" spans="1:23" x14ac:dyDescent="0.4">
      <c r="A27" s="70">
        <f t="shared" si="2"/>
        <v>46081</v>
      </c>
      <c r="B27" s="1"/>
      <c r="C27" s="1"/>
      <c r="D27" s="175">
        <v>2496317.5055127</v>
      </c>
      <c r="E27" s="175">
        <v>2496317.5055127</v>
      </c>
      <c r="F27" s="175">
        <v>2496317.5055127</v>
      </c>
      <c r="G27" s="175">
        <v>2496317.5055127</v>
      </c>
      <c r="H27" s="175">
        <v>2496317.5055127</v>
      </c>
      <c r="I27" s="175">
        <v>2496317.5055127</v>
      </c>
      <c r="J27" s="175">
        <v>2496317.5055127</v>
      </c>
      <c r="K27" s="175">
        <v>2496317.5055127</v>
      </c>
      <c r="L27" s="175">
        <v>2496317.5055127</v>
      </c>
      <c r="M27" s="175">
        <v>2496317.5055127</v>
      </c>
      <c r="N27" s="1"/>
      <c r="O27" s="1"/>
      <c r="P27" s="1"/>
      <c r="Q27" s="1"/>
      <c r="R27" s="1"/>
      <c r="S27" s="1"/>
      <c r="T27" s="1"/>
      <c r="U27" s="1"/>
      <c r="V27" s="1"/>
      <c r="W27" s="1"/>
    </row>
    <row r="28" spans="1:23" x14ac:dyDescent="0.4">
      <c r="A28" s="70">
        <f t="shared" si="2"/>
        <v>46112</v>
      </c>
      <c r="B28" s="1"/>
      <c r="C28" s="1"/>
      <c r="D28" s="175">
        <v>2359736.8894150597</v>
      </c>
      <c r="E28" s="175">
        <v>2359736.8894150597</v>
      </c>
      <c r="F28" s="175">
        <v>2359736.8894150597</v>
      </c>
      <c r="G28" s="175">
        <v>2359736.8894150597</v>
      </c>
      <c r="H28" s="175">
        <v>2359736.8894150597</v>
      </c>
      <c r="I28" s="175">
        <v>2359736.8894150597</v>
      </c>
      <c r="J28" s="175">
        <v>2359736.8894150597</v>
      </c>
      <c r="K28" s="175">
        <v>2359736.8894150597</v>
      </c>
      <c r="L28" s="175">
        <v>2359736.8894150597</v>
      </c>
      <c r="M28" s="175">
        <v>2359736.8894150597</v>
      </c>
      <c r="N28" s="1"/>
      <c r="O28" s="1"/>
      <c r="P28" s="1"/>
      <c r="Q28" s="1"/>
      <c r="R28" s="1"/>
      <c r="S28" s="1"/>
      <c r="T28" s="1"/>
      <c r="U28" s="1"/>
      <c r="V28" s="1"/>
      <c r="W28" s="1"/>
    </row>
    <row r="29" spans="1:23" x14ac:dyDescent="0.4">
      <c r="A29" s="70">
        <f>EOMONTH(A28+1,0)</f>
        <v>46142</v>
      </c>
      <c r="B29" s="1"/>
      <c r="C29" s="1"/>
      <c r="D29" s="175">
        <v>2520871.2715539499</v>
      </c>
      <c r="E29" s="175">
        <v>2520871.2715539499</v>
      </c>
      <c r="F29" s="175">
        <v>2520871.2715539499</v>
      </c>
      <c r="G29" s="175">
        <v>2520871.2715539499</v>
      </c>
      <c r="H29" s="175">
        <v>2520871.2715539499</v>
      </c>
      <c r="I29" s="175">
        <v>2520871.2715539499</v>
      </c>
      <c r="J29" s="175">
        <v>2520871.2715539499</v>
      </c>
      <c r="K29" s="175">
        <v>2520871.2715539499</v>
      </c>
      <c r="L29" s="175">
        <v>2520871.2715539499</v>
      </c>
      <c r="M29" s="175">
        <v>2520871.2715539499</v>
      </c>
      <c r="N29" s="1"/>
      <c r="O29" s="1"/>
      <c r="P29" s="1"/>
      <c r="Q29" s="1"/>
      <c r="R29" s="1"/>
      <c r="S29" s="1"/>
      <c r="T29" s="1"/>
      <c r="U29" s="1"/>
      <c r="V29" s="1"/>
      <c r="W29" s="1"/>
    </row>
    <row r="30" spans="1:23" x14ac:dyDescent="0.4">
      <c r="A30" s="70">
        <f t="shared" si="2"/>
        <v>46173</v>
      </c>
      <c r="B30" s="1"/>
      <c r="C30" s="1"/>
      <c r="D30" s="175">
        <v>2310008.3937524506</v>
      </c>
      <c r="E30" s="175">
        <v>2310008.3937524506</v>
      </c>
      <c r="F30" s="175">
        <v>2310008.3937524506</v>
      </c>
      <c r="G30" s="175">
        <v>2310008.3937524506</v>
      </c>
      <c r="H30" s="175">
        <v>2310008.3937524506</v>
      </c>
      <c r="I30" s="175">
        <v>2310008.3937524506</v>
      </c>
      <c r="J30" s="175">
        <v>2310008.3937524506</v>
      </c>
      <c r="K30" s="175">
        <v>2310008.3937524506</v>
      </c>
      <c r="L30" s="175">
        <v>2310008.3937524506</v>
      </c>
      <c r="M30" s="175">
        <v>2310008.3937524506</v>
      </c>
      <c r="N30" s="1"/>
      <c r="O30" s="1"/>
      <c r="P30" s="1"/>
      <c r="Q30" s="1"/>
      <c r="R30" s="1"/>
      <c r="S30" s="1"/>
      <c r="T30" s="1"/>
      <c r="U30" s="1"/>
      <c r="V30" s="1"/>
      <c r="W30" s="1"/>
    </row>
    <row r="31" spans="1:23" x14ac:dyDescent="0.4">
      <c r="A31" s="70">
        <f t="shared" si="2"/>
        <v>46203</v>
      </c>
      <c r="B31" s="1"/>
      <c r="C31" s="1"/>
      <c r="D31" s="175">
        <v>2368014.4931060001</v>
      </c>
      <c r="E31" s="175">
        <v>2368014.4931060001</v>
      </c>
      <c r="F31" s="175">
        <v>2368014.4931060001</v>
      </c>
      <c r="G31" s="175">
        <v>2368014.4931060001</v>
      </c>
      <c r="H31" s="175">
        <v>2368014.4931060001</v>
      </c>
      <c r="I31" s="175">
        <v>2368014.4931060001</v>
      </c>
      <c r="J31" s="175">
        <v>2368014.4931060001</v>
      </c>
      <c r="K31" s="175">
        <v>2368014.4931060001</v>
      </c>
      <c r="L31" s="175">
        <v>2368014.4931060001</v>
      </c>
      <c r="M31" s="175">
        <v>2368014.4931060001</v>
      </c>
      <c r="N31" s="1"/>
      <c r="O31" s="1"/>
      <c r="P31" s="1"/>
      <c r="Q31" s="1"/>
      <c r="R31" s="1"/>
      <c r="S31" s="1"/>
      <c r="T31" s="1"/>
      <c r="U31" s="1"/>
      <c r="V31" s="1"/>
      <c r="W31" s="1"/>
    </row>
    <row r="32" spans="1:23" x14ac:dyDescent="0.4">
      <c r="A32" s="70">
        <f t="shared" si="2"/>
        <v>46234</v>
      </c>
      <c r="B32" s="1"/>
      <c r="C32" s="1"/>
      <c r="D32" s="175">
        <v>2303283.26191526</v>
      </c>
      <c r="E32" s="175">
        <v>2303283.26191526</v>
      </c>
      <c r="F32" s="175">
        <v>2303283.26191526</v>
      </c>
      <c r="G32" s="175">
        <v>2303283.26191526</v>
      </c>
      <c r="H32" s="175">
        <v>2303283.26191526</v>
      </c>
      <c r="I32" s="175">
        <v>2303283.26191526</v>
      </c>
      <c r="J32" s="175">
        <v>2303283.26191526</v>
      </c>
      <c r="K32" s="175">
        <v>2303283.26191526</v>
      </c>
      <c r="L32" s="175">
        <v>2303283.26191526</v>
      </c>
      <c r="M32" s="175">
        <v>2303283.26191526</v>
      </c>
      <c r="N32" s="1"/>
      <c r="O32" s="1"/>
      <c r="P32" s="1"/>
      <c r="Q32" s="1"/>
      <c r="R32" s="1"/>
      <c r="S32" s="1"/>
      <c r="T32" s="1"/>
      <c r="U32" s="1"/>
      <c r="V32" s="1"/>
      <c r="W32" s="1"/>
    </row>
    <row r="33" spans="1:23" x14ac:dyDescent="0.4">
      <c r="A33" s="70">
        <f t="shared" si="2"/>
        <v>46265</v>
      </c>
      <c r="B33" s="1"/>
      <c r="C33" s="1"/>
      <c r="D33" s="175">
        <v>2382546.9410827095</v>
      </c>
      <c r="E33" s="175">
        <v>2382546.9410827095</v>
      </c>
      <c r="F33" s="175">
        <v>2382546.9410827095</v>
      </c>
      <c r="G33" s="175">
        <v>2382546.9410827095</v>
      </c>
      <c r="H33" s="175">
        <v>2382546.9410827095</v>
      </c>
      <c r="I33" s="175">
        <v>2382546.9410827095</v>
      </c>
      <c r="J33" s="175">
        <v>2382546.9410827095</v>
      </c>
      <c r="K33" s="175">
        <v>2382546.9410827095</v>
      </c>
      <c r="L33" s="175">
        <v>2382546.9410827095</v>
      </c>
      <c r="M33" s="175">
        <v>2382546.9410827095</v>
      </c>
      <c r="N33" s="1"/>
      <c r="O33" s="1"/>
      <c r="P33" s="1"/>
      <c r="Q33" s="1"/>
      <c r="R33" s="1"/>
      <c r="S33" s="1"/>
      <c r="T33" s="1"/>
      <c r="U33" s="1"/>
      <c r="V33" s="1"/>
      <c r="W33" s="1"/>
    </row>
    <row r="34" spans="1:23" x14ac:dyDescent="0.4">
      <c r="A34" s="70">
        <f t="shared" si="2"/>
        <v>46295</v>
      </c>
      <c r="B34" s="1"/>
      <c r="C34" s="1"/>
      <c r="D34" s="175">
        <v>2325575.9905507104</v>
      </c>
      <c r="E34" s="175">
        <v>2325575.9905507104</v>
      </c>
      <c r="F34" s="175">
        <v>2325575.9905507104</v>
      </c>
      <c r="G34" s="175">
        <v>2325575.9905507104</v>
      </c>
      <c r="H34" s="175">
        <v>2325575.9905507104</v>
      </c>
      <c r="I34" s="175">
        <v>2325575.9905507104</v>
      </c>
      <c r="J34" s="175">
        <v>2325575.9905507104</v>
      </c>
      <c r="K34" s="175">
        <v>2325575.9905507104</v>
      </c>
      <c r="L34" s="175">
        <v>2325575.9905507104</v>
      </c>
      <c r="M34" s="175">
        <v>2325575.9905507104</v>
      </c>
      <c r="N34" s="1"/>
      <c r="O34" s="1"/>
      <c r="P34" s="1"/>
      <c r="Q34" s="1"/>
      <c r="R34" s="1"/>
      <c r="S34" s="1"/>
      <c r="T34" s="1"/>
      <c r="U34" s="1"/>
      <c r="V34" s="1"/>
      <c r="W34" s="1"/>
    </row>
    <row r="35" spans="1:23" x14ac:dyDescent="0.4">
      <c r="A35" s="70">
        <f t="shared" si="2"/>
        <v>46326</v>
      </c>
      <c r="B35" s="1"/>
      <c r="C35" s="1"/>
      <c r="D35" s="175">
        <v>2282726.4061537301</v>
      </c>
      <c r="E35" s="175">
        <v>2282726.4061537301</v>
      </c>
      <c r="F35" s="175">
        <v>2282726.4061537301</v>
      </c>
      <c r="G35" s="175">
        <v>2282726.4061537301</v>
      </c>
      <c r="H35" s="175">
        <v>2282726.4061537301</v>
      </c>
      <c r="I35" s="175">
        <v>2282726.4061537301</v>
      </c>
      <c r="J35" s="175">
        <v>2282726.4061537301</v>
      </c>
      <c r="K35" s="175">
        <v>2282726.4061537301</v>
      </c>
      <c r="L35" s="175">
        <v>2282726.4061537301</v>
      </c>
      <c r="M35" s="175">
        <v>2282726.4061537301</v>
      </c>
      <c r="N35" s="1"/>
      <c r="O35" s="1"/>
      <c r="P35" s="1"/>
      <c r="Q35" s="1"/>
      <c r="R35" s="1"/>
      <c r="S35" s="1"/>
      <c r="T35" s="1"/>
      <c r="U35" s="1"/>
      <c r="V35" s="1"/>
      <c r="W35" s="1"/>
    </row>
    <row r="36" spans="1:23" x14ac:dyDescent="0.4">
      <c r="A36" s="70">
        <f t="shared" si="2"/>
        <v>46356</v>
      </c>
      <c r="B36" s="1"/>
      <c r="C36" s="1"/>
      <c r="D36" s="175">
        <v>2335697.83391198</v>
      </c>
      <c r="E36" s="175">
        <v>2335697.83391198</v>
      </c>
      <c r="F36" s="175">
        <v>2335697.83391198</v>
      </c>
      <c r="G36" s="175">
        <v>2335697.83391198</v>
      </c>
      <c r="H36" s="175">
        <v>2335697.83391198</v>
      </c>
      <c r="I36" s="175">
        <v>2335697.83391198</v>
      </c>
      <c r="J36" s="175">
        <v>2335697.83391198</v>
      </c>
      <c r="K36" s="175">
        <v>2335697.83391198</v>
      </c>
      <c r="L36" s="175">
        <v>2335697.83391198</v>
      </c>
      <c r="M36" s="175">
        <v>2335697.83391198</v>
      </c>
      <c r="N36" s="1"/>
      <c r="O36" s="1"/>
      <c r="P36" s="1"/>
      <c r="Q36" s="1"/>
      <c r="R36" s="1"/>
      <c r="S36" s="1"/>
      <c r="T36" s="1"/>
      <c r="U36" s="1"/>
      <c r="V36" s="1"/>
      <c r="W36" s="1"/>
    </row>
    <row r="37" spans="1:23" x14ac:dyDescent="0.4">
      <c r="A37" s="70">
        <f t="shared" si="2"/>
        <v>46387</v>
      </c>
      <c r="B37" s="1"/>
      <c r="C37" s="1"/>
      <c r="D37" s="175">
        <v>2292309.9721714999</v>
      </c>
      <c r="E37" s="175">
        <v>2292309.9721714999</v>
      </c>
      <c r="F37" s="175">
        <v>2292309.9721714999</v>
      </c>
      <c r="G37" s="175">
        <v>2292309.9721714999</v>
      </c>
      <c r="H37" s="175">
        <v>2292309.9721714999</v>
      </c>
      <c r="I37" s="175">
        <v>2292309.9721714999</v>
      </c>
      <c r="J37" s="175">
        <v>2292309.9721714999</v>
      </c>
      <c r="K37" s="175">
        <v>2292309.9721714999</v>
      </c>
      <c r="L37" s="175">
        <v>2292309.9721714999</v>
      </c>
      <c r="M37" s="175">
        <v>2292309.9721714999</v>
      </c>
      <c r="N37" s="1"/>
      <c r="O37" s="1"/>
      <c r="P37" s="1"/>
      <c r="Q37" s="1"/>
      <c r="R37" s="1"/>
      <c r="S37" s="1"/>
      <c r="T37" s="1"/>
      <c r="U37" s="1"/>
      <c r="V37" s="1"/>
      <c r="W37" s="1"/>
    </row>
    <row r="38" spans="1:23" x14ac:dyDescent="0.4">
      <c r="A38" s="70">
        <f t="shared" si="2"/>
        <v>46418</v>
      </c>
      <c r="B38" s="1"/>
      <c r="C38" s="1"/>
      <c r="D38" s="175">
        <v>2281033.2892649001</v>
      </c>
      <c r="E38" s="175">
        <v>2281033.2892649001</v>
      </c>
      <c r="F38" s="175">
        <v>2281033.2892649001</v>
      </c>
      <c r="G38" s="175">
        <v>2281033.2892649001</v>
      </c>
      <c r="H38" s="175">
        <v>2281033.2892649001</v>
      </c>
      <c r="I38" s="175">
        <v>2281033.2892649001</v>
      </c>
      <c r="J38" s="175">
        <v>2281033.2892649001</v>
      </c>
      <c r="K38" s="175">
        <v>2281033.2892649001</v>
      </c>
      <c r="L38" s="175">
        <v>2281033.2892649001</v>
      </c>
      <c r="M38" s="175">
        <v>2281033.2892649001</v>
      </c>
      <c r="N38" s="1"/>
      <c r="O38" s="1"/>
      <c r="P38" s="1"/>
      <c r="Q38" s="1"/>
      <c r="R38" s="1"/>
      <c r="S38" s="1"/>
      <c r="T38" s="1"/>
      <c r="U38" s="1"/>
      <c r="V38" s="1"/>
      <c r="W38" s="1"/>
    </row>
    <row r="39" spans="1:23" x14ac:dyDescent="0.4">
      <c r="A39" s="70">
        <f t="shared" si="2"/>
        <v>46446</v>
      </c>
      <c r="B39" s="1"/>
      <c r="C39" s="1"/>
      <c r="D39" s="175">
        <v>2296380.53581197</v>
      </c>
      <c r="E39" s="175">
        <v>2296380.53581197</v>
      </c>
      <c r="F39" s="175">
        <v>2296380.53581197</v>
      </c>
      <c r="G39" s="175">
        <v>2296380.53581197</v>
      </c>
      <c r="H39" s="175">
        <v>2296380.53581197</v>
      </c>
      <c r="I39" s="175">
        <v>2296380.53581197</v>
      </c>
      <c r="J39" s="175">
        <v>2296380.53581197</v>
      </c>
      <c r="K39" s="175">
        <v>2296380.53581197</v>
      </c>
      <c r="L39" s="175">
        <v>2296380.53581197</v>
      </c>
      <c r="M39" s="175">
        <v>2296380.53581197</v>
      </c>
      <c r="N39" s="1"/>
      <c r="O39" s="1"/>
      <c r="P39" s="1"/>
      <c r="Q39" s="1"/>
      <c r="R39" s="1"/>
      <c r="S39" s="1"/>
      <c r="T39" s="1"/>
      <c r="U39" s="1"/>
      <c r="V39" s="1"/>
      <c r="W39" s="1"/>
    </row>
    <row r="40" spans="1:23" x14ac:dyDescent="0.4">
      <c r="A40" s="70">
        <f t="shared" si="2"/>
        <v>46477</v>
      </c>
      <c r="B40" s="1"/>
      <c r="C40" s="1"/>
      <c r="D40" s="175">
        <v>2178630.7699309899</v>
      </c>
      <c r="E40" s="175">
        <v>2178630.7699309899</v>
      </c>
      <c r="F40" s="175">
        <v>2178630.7699309899</v>
      </c>
      <c r="G40" s="175">
        <v>2178630.7699309899</v>
      </c>
      <c r="H40" s="175">
        <v>2178630.7699309899</v>
      </c>
      <c r="I40" s="175">
        <v>2178630.7699309899</v>
      </c>
      <c r="J40" s="175">
        <v>2178630.7699309899</v>
      </c>
      <c r="K40" s="175">
        <v>2178630.7699309899</v>
      </c>
      <c r="L40" s="175">
        <v>2178630.7699309899</v>
      </c>
      <c r="M40" s="175">
        <v>2178630.7699309899</v>
      </c>
      <c r="N40" s="1"/>
      <c r="O40" s="1"/>
      <c r="P40" s="1"/>
      <c r="Q40" s="1"/>
      <c r="R40" s="1"/>
      <c r="S40" s="1"/>
      <c r="T40" s="1"/>
      <c r="U40" s="1"/>
      <c r="V40" s="1"/>
      <c r="W40" s="1"/>
    </row>
    <row r="41" spans="1:23" x14ac:dyDescent="0.4">
      <c r="A41" s="70">
        <f t="shared" si="2"/>
        <v>46507</v>
      </c>
      <c r="B41" s="1"/>
      <c r="C41" s="1"/>
      <c r="D41" s="175">
        <v>2321964.3021014496</v>
      </c>
      <c r="E41" s="175">
        <v>2321964.3021014496</v>
      </c>
      <c r="F41" s="175">
        <v>2321964.3021014496</v>
      </c>
      <c r="G41" s="175">
        <v>2321964.3021014496</v>
      </c>
      <c r="H41" s="175">
        <v>2321964.3021014496</v>
      </c>
      <c r="I41" s="175">
        <v>2321964.3021014496</v>
      </c>
      <c r="J41" s="175">
        <v>2321964.3021014496</v>
      </c>
      <c r="K41" s="175">
        <v>2321964.3021014496</v>
      </c>
      <c r="L41" s="175">
        <v>2321964.3021014496</v>
      </c>
      <c r="M41" s="175">
        <v>2321964.3021014496</v>
      </c>
      <c r="N41" s="1"/>
      <c r="O41" s="1"/>
      <c r="P41" s="1"/>
      <c r="Q41" s="1"/>
      <c r="R41" s="1"/>
      <c r="S41" s="1"/>
      <c r="T41" s="1"/>
      <c r="U41" s="1"/>
      <c r="V41" s="1"/>
      <c r="W41" s="1"/>
    </row>
    <row r="42" spans="1:23" x14ac:dyDescent="0.4">
      <c r="A42" s="70">
        <f t="shared" si="2"/>
        <v>46538</v>
      </c>
      <c r="B42" s="1"/>
      <c r="C42" s="1"/>
      <c r="D42" s="175">
        <v>2277258.6795105999</v>
      </c>
      <c r="E42" s="175">
        <v>2277258.6795105999</v>
      </c>
      <c r="F42" s="175">
        <v>2277258.6795105999</v>
      </c>
      <c r="G42" s="175">
        <v>2277258.6795105999</v>
      </c>
      <c r="H42" s="175">
        <v>2277258.6795105999</v>
      </c>
      <c r="I42" s="175">
        <v>2277258.6795105999</v>
      </c>
      <c r="J42" s="175">
        <v>2277258.6795105999</v>
      </c>
      <c r="K42" s="175">
        <v>2277258.6795105999</v>
      </c>
      <c r="L42" s="175">
        <v>2277258.6795105999</v>
      </c>
      <c r="M42" s="175">
        <v>2277258.6795105999</v>
      </c>
      <c r="N42" s="1"/>
      <c r="O42" s="1"/>
      <c r="P42" s="1"/>
      <c r="Q42" s="1"/>
      <c r="R42" s="1"/>
      <c r="S42" s="1"/>
      <c r="T42" s="1"/>
      <c r="U42" s="1"/>
      <c r="V42" s="1"/>
      <c r="W42" s="1"/>
    </row>
    <row r="43" spans="1:23" x14ac:dyDescent="0.4">
      <c r="A43" s="70">
        <f t="shared" si="2"/>
        <v>46568</v>
      </c>
      <c r="B43" s="1"/>
      <c r="C43" s="1"/>
      <c r="D43" s="175">
        <v>2286797.5690993201</v>
      </c>
      <c r="E43" s="175">
        <v>2286797.5690993201</v>
      </c>
      <c r="F43" s="175">
        <v>2286797.5690993201</v>
      </c>
      <c r="G43" s="175">
        <v>2286797.5690993201</v>
      </c>
      <c r="H43" s="175">
        <v>2286797.5690993201</v>
      </c>
      <c r="I43" s="175">
        <v>2286797.5690993201</v>
      </c>
      <c r="J43" s="175">
        <v>2286797.5690993201</v>
      </c>
      <c r="K43" s="175">
        <v>2286797.5690993201</v>
      </c>
      <c r="L43" s="175">
        <v>2286797.5690993201</v>
      </c>
      <c r="M43" s="175">
        <v>2286797.5690993201</v>
      </c>
      <c r="N43" s="1"/>
      <c r="O43" s="1"/>
      <c r="P43" s="1"/>
      <c r="Q43" s="1"/>
      <c r="R43" s="1"/>
      <c r="S43" s="1"/>
      <c r="T43" s="1"/>
      <c r="U43" s="1"/>
      <c r="V43" s="1"/>
      <c r="W43" s="1"/>
    </row>
    <row r="44" spans="1:23" x14ac:dyDescent="0.4">
      <c r="A44" s="70">
        <f t="shared" si="2"/>
        <v>46599</v>
      </c>
      <c r="B44" s="1"/>
      <c r="C44" s="1"/>
      <c r="D44" s="175">
        <v>6124625.57937897</v>
      </c>
      <c r="E44" s="175">
        <v>6124625.57937897</v>
      </c>
      <c r="F44" s="175">
        <v>6124625.57937897</v>
      </c>
      <c r="G44" s="175">
        <v>6124625.57937897</v>
      </c>
      <c r="H44" s="175">
        <v>6124625.57937897</v>
      </c>
      <c r="I44" s="175">
        <v>6124625.57937897</v>
      </c>
      <c r="J44" s="175">
        <v>6124625.57937897</v>
      </c>
      <c r="K44" s="175">
        <v>6124625.57937897</v>
      </c>
      <c r="L44" s="175">
        <v>6124625.57937897</v>
      </c>
      <c r="M44" s="175">
        <v>6124625.57937897</v>
      </c>
      <c r="N44" s="1"/>
      <c r="O44" s="1"/>
      <c r="P44" s="1"/>
      <c r="Q44" s="1"/>
      <c r="R44" s="1"/>
      <c r="S44" s="1"/>
      <c r="T44" s="1"/>
      <c r="U44" s="1"/>
      <c r="V44" s="1"/>
      <c r="W44" s="1"/>
    </row>
    <row r="45" spans="1:23" x14ac:dyDescent="0.4">
      <c r="A45" s="70">
        <f t="shared" si="2"/>
        <v>46630</v>
      </c>
      <c r="B45" s="1"/>
      <c r="C45" s="1"/>
      <c r="D45" s="175">
        <v>2260326.8745729495</v>
      </c>
      <c r="E45" s="175">
        <v>2260326.8745729495</v>
      </c>
      <c r="F45" s="175">
        <v>2260326.8745729495</v>
      </c>
      <c r="G45" s="175">
        <v>2260326.8745729495</v>
      </c>
      <c r="H45" s="175">
        <v>2260326.8745729495</v>
      </c>
      <c r="I45" s="175">
        <v>2260326.8745729495</v>
      </c>
      <c r="J45" s="175">
        <v>2260326.8745729495</v>
      </c>
      <c r="K45" s="175">
        <v>2260326.8745729495</v>
      </c>
      <c r="L45" s="175">
        <v>2260326.8745729495</v>
      </c>
      <c r="M45" s="175">
        <v>2260326.8745729495</v>
      </c>
      <c r="N45" s="1"/>
      <c r="O45" s="1"/>
      <c r="P45" s="1"/>
      <c r="Q45" s="1"/>
      <c r="R45" s="1"/>
      <c r="S45" s="1"/>
      <c r="T45" s="1"/>
      <c r="U45" s="1"/>
      <c r="V45" s="1"/>
      <c r="W45" s="1"/>
    </row>
    <row r="46" spans="1:23" x14ac:dyDescent="0.4">
      <c r="A46" s="70">
        <f t="shared" si="2"/>
        <v>46660</v>
      </c>
      <c r="B46" s="1"/>
      <c r="C46" s="1"/>
      <c r="D46" s="175">
        <v>2199959.4250160097</v>
      </c>
      <c r="E46" s="175">
        <v>2199959.4250160097</v>
      </c>
      <c r="F46" s="175">
        <v>2199959.4250160097</v>
      </c>
      <c r="G46" s="175">
        <v>2199959.4250160097</v>
      </c>
      <c r="H46" s="175">
        <v>2199959.4250160097</v>
      </c>
      <c r="I46" s="175">
        <v>2199959.4250160097</v>
      </c>
      <c r="J46" s="175">
        <v>2199959.4250160097</v>
      </c>
      <c r="K46" s="175">
        <v>2199959.4250160097</v>
      </c>
      <c r="L46" s="175">
        <v>2199959.4250160097</v>
      </c>
      <c r="M46" s="175">
        <v>2199959.4250160097</v>
      </c>
      <c r="N46" s="1"/>
      <c r="O46" s="1"/>
      <c r="P46" s="1"/>
      <c r="Q46" s="1"/>
      <c r="R46" s="1"/>
      <c r="S46" s="1"/>
      <c r="T46" s="1"/>
      <c r="U46" s="1"/>
      <c r="V46" s="1"/>
      <c r="W46" s="1"/>
    </row>
    <row r="47" spans="1:23" x14ac:dyDescent="0.4">
      <c r="A47" s="70">
        <f t="shared" si="2"/>
        <v>46691</v>
      </c>
      <c r="B47" s="1"/>
      <c r="C47" s="1"/>
      <c r="D47" s="175">
        <v>2203054.6830826397</v>
      </c>
      <c r="E47" s="175">
        <v>2203054.6830826397</v>
      </c>
      <c r="F47" s="175">
        <v>2203054.6830826397</v>
      </c>
      <c r="G47" s="175">
        <v>2203054.6830826397</v>
      </c>
      <c r="H47" s="175">
        <v>2203054.6830826397</v>
      </c>
      <c r="I47" s="175">
        <v>2203054.6830826397</v>
      </c>
      <c r="J47" s="175">
        <v>2203054.6830826397</v>
      </c>
      <c r="K47" s="175">
        <v>2203054.6830826397</v>
      </c>
      <c r="L47" s="175">
        <v>2203054.6830826397</v>
      </c>
      <c r="M47" s="175">
        <v>2203054.6830826397</v>
      </c>
      <c r="N47" s="1"/>
      <c r="O47" s="1"/>
      <c r="P47" s="1"/>
      <c r="Q47" s="1"/>
      <c r="R47" s="1"/>
      <c r="S47" s="1"/>
      <c r="T47" s="1"/>
      <c r="U47" s="1"/>
      <c r="V47" s="1"/>
      <c r="W47" s="1"/>
    </row>
    <row r="48" spans="1:23" x14ac:dyDescent="0.4">
      <c r="A48" s="70">
        <f t="shared" si="2"/>
        <v>46721</v>
      </c>
      <c r="B48" s="1"/>
      <c r="C48" s="1"/>
      <c r="D48" s="175">
        <v>2213698.6090965196</v>
      </c>
      <c r="E48" s="175">
        <v>2213698.6090965196</v>
      </c>
      <c r="F48" s="175">
        <v>2213698.6090965196</v>
      </c>
      <c r="G48" s="175">
        <v>2213698.6090965196</v>
      </c>
      <c r="H48" s="175">
        <v>2213698.6090965196</v>
      </c>
      <c r="I48" s="175">
        <v>2213698.6090965196</v>
      </c>
      <c r="J48" s="175">
        <v>2213698.6090965196</v>
      </c>
      <c r="K48" s="175">
        <v>2213698.6090965196</v>
      </c>
      <c r="L48" s="175">
        <v>2213698.6090965196</v>
      </c>
      <c r="M48" s="175">
        <v>2213698.6090965196</v>
      </c>
      <c r="N48" s="1"/>
      <c r="O48" s="1"/>
      <c r="P48" s="1"/>
      <c r="Q48" s="1"/>
      <c r="R48" s="1"/>
      <c r="S48" s="1"/>
      <c r="T48" s="1"/>
      <c r="U48" s="1"/>
      <c r="V48" s="1"/>
      <c r="W48" s="1"/>
    </row>
    <row r="49" spans="1:23" x14ac:dyDescent="0.4">
      <c r="A49" s="70">
        <f t="shared" si="2"/>
        <v>46752</v>
      </c>
      <c r="B49" s="1"/>
      <c r="C49" s="1"/>
      <c r="D49" s="175">
        <v>2182689.7645205399</v>
      </c>
      <c r="E49" s="175">
        <v>2182689.7645205399</v>
      </c>
      <c r="F49" s="175">
        <v>2182689.7645205399</v>
      </c>
      <c r="G49" s="175">
        <v>2182689.7645205399</v>
      </c>
      <c r="H49" s="175">
        <v>2182689.7645205399</v>
      </c>
      <c r="I49" s="175">
        <v>2182689.7645205399</v>
      </c>
      <c r="J49" s="175">
        <v>2182689.7645205399</v>
      </c>
      <c r="K49" s="175">
        <v>2182689.7645205399</v>
      </c>
      <c r="L49" s="175">
        <v>2182689.7645205399</v>
      </c>
      <c r="M49" s="175">
        <v>2182689.7645205399</v>
      </c>
      <c r="N49" s="1"/>
      <c r="O49" s="1"/>
      <c r="P49" s="1"/>
      <c r="Q49" s="1"/>
      <c r="R49" s="1"/>
      <c r="S49" s="1"/>
      <c r="T49" s="1"/>
      <c r="U49" s="1"/>
      <c r="V49" s="1"/>
      <c r="W49" s="1"/>
    </row>
    <row r="50" spans="1:23" x14ac:dyDescent="0.4">
      <c r="A50" s="70">
        <f t="shared" si="2"/>
        <v>46783</v>
      </c>
      <c r="B50" s="1"/>
      <c r="C50" s="1"/>
      <c r="D50" s="175">
        <v>2246749.3182240902</v>
      </c>
      <c r="E50" s="175">
        <v>2246749.3182240902</v>
      </c>
      <c r="F50" s="175">
        <v>2246749.3182240902</v>
      </c>
      <c r="G50" s="175">
        <v>2246749.3182240902</v>
      </c>
      <c r="H50" s="175">
        <v>2246749.3182240902</v>
      </c>
      <c r="I50" s="175">
        <v>2246749.3182240902</v>
      </c>
      <c r="J50" s="175">
        <v>2246749.3182240902</v>
      </c>
      <c r="K50" s="175">
        <v>2246749.3182240902</v>
      </c>
      <c r="L50" s="175">
        <v>2246749.3182240902</v>
      </c>
      <c r="M50" s="175">
        <v>2246749.3182240902</v>
      </c>
      <c r="N50" s="1"/>
      <c r="O50" s="1"/>
      <c r="P50" s="1"/>
      <c r="Q50" s="1"/>
      <c r="R50" s="1"/>
      <c r="S50" s="1"/>
      <c r="T50" s="1"/>
      <c r="U50" s="1"/>
      <c r="V50" s="1"/>
      <c r="W50" s="1"/>
    </row>
    <row r="51" spans="1:23" x14ac:dyDescent="0.4">
      <c r="A51" s="70">
        <f t="shared" si="2"/>
        <v>46812</v>
      </c>
      <c r="B51" s="1"/>
      <c r="C51" s="1"/>
      <c r="D51" s="175">
        <v>2225035.4998782803</v>
      </c>
      <c r="E51" s="175">
        <v>2225035.4998782803</v>
      </c>
      <c r="F51" s="175">
        <v>2225035.4998782803</v>
      </c>
      <c r="G51" s="175">
        <v>2225035.4998782803</v>
      </c>
      <c r="H51" s="175">
        <v>2225035.4998782803</v>
      </c>
      <c r="I51" s="175">
        <v>2225035.4998782803</v>
      </c>
      <c r="J51" s="175">
        <v>2225035.4998782803</v>
      </c>
      <c r="K51" s="175">
        <v>2225035.4998782803</v>
      </c>
      <c r="L51" s="175">
        <v>2225035.4998782803</v>
      </c>
      <c r="M51" s="175">
        <v>2225035.4998782803</v>
      </c>
      <c r="N51" s="1"/>
      <c r="O51" s="1"/>
      <c r="P51" s="1"/>
      <c r="Q51" s="1"/>
      <c r="R51" s="1"/>
      <c r="S51" s="1"/>
      <c r="T51" s="1"/>
      <c r="U51" s="1"/>
      <c r="V51" s="1"/>
      <c r="W51" s="1"/>
    </row>
    <row r="52" spans="1:23" x14ac:dyDescent="0.4">
      <c r="A52" s="70">
        <f t="shared" si="2"/>
        <v>46843</v>
      </c>
      <c r="B52" s="1"/>
      <c r="C52" s="1"/>
      <c r="D52" s="175">
        <v>2082092.2195760303</v>
      </c>
      <c r="E52" s="175">
        <v>2082092.2195760303</v>
      </c>
      <c r="F52" s="175">
        <v>2082092.2195760303</v>
      </c>
      <c r="G52" s="175">
        <v>2082092.2195760303</v>
      </c>
      <c r="H52" s="175">
        <v>2082092.2195760303</v>
      </c>
      <c r="I52" s="175">
        <v>2082092.2195760303</v>
      </c>
      <c r="J52" s="175">
        <v>2082092.2195760303</v>
      </c>
      <c r="K52" s="175">
        <v>2082092.2195760303</v>
      </c>
      <c r="L52" s="175">
        <v>2082092.2195760303</v>
      </c>
      <c r="M52" s="175">
        <v>2082092.2195760303</v>
      </c>
      <c r="N52" s="1"/>
      <c r="O52" s="1"/>
      <c r="P52" s="1"/>
      <c r="Q52" s="1"/>
      <c r="R52" s="1"/>
      <c r="S52" s="1"/>
      <c r="T52" s="1"/>
      <c r="U52" s="1"/>
      <c r="V52" s="1"/>
      <c r="W52" s="1"/>
    </row>
    <row r="53" spans="1:23" x14ac:dyDescent="0.4">
      <c r="A53" s="70">
        <f t="shared" si="2"/>
        <v>46873</v>
      </c>
      <c r="B53" s="1"/>
      <c r="C53" s="1"/>
      <c r="D53" s="175">
        <v>2268525.53594707</v>
      </c>
      <c r="E53" s="175">
        <v>2268525.53594707</v>
      </c>
      <c r="F53" s="175">
        <v>2268525.53594707</v>
      </c>
      <c r="G53" s="175">
        <v>2268525.53594707</v>
      </c>
      <c r="H53" s="175">
        <v>2268525.53594707</v>
      </c>
      <c r="I53" s="175">
        <v>2268525.53594707</v>
      </c>
      <c r="J53" s="175">
        <v>2268525.53594707</v>
      </c>
      <c r="K53" s="175">
        <v>2268525.53594707</v>
      </c>
      <c r="L53" s="175">
        <v>2268525.53594707</v>
      </c>
      <c r="M53" s="175">
        <v>2268525.53594707</v>
      </c>
      <c r="N53" s="1"/>
      <c r="O53" s="1"/>
      <c r="P53" s="1"/>
      <c r="Q53" s="1"/>
      <c r="R53" s="1"/>
      <c r="S53" s="1"/>
      <c r="T53" s="1"/>
      <c r="U53" s="1"/>
      <c r="V53" s="1"/>
      <c r="W53" s="1"/>
    </row>
    <row r="54" spans="1:23" x14ac:dyDescent="0.4">
      <c r="A54" s="70">
        <f t="shared" si="2"/>
        <v>46904</v>
      </c>
      <c r="B54" s="1"/>
      <c r="C54" s="1"/>
      <c r="D54" s="175">
        <v>2178081.3021382401</v>
      </c>
      <c r="E54" s="175">
        <v>2178081.3021382401</v>
      </c>
      <c r="F54" s="175">
        <v>2178081.3021382401</v>
      </c>
      <c r="G54" s="175">
        <v>2178081.3021382401</v>
      </c>
      <c r="H54" s="175">
        <v>2178081.3021382401</v>
      </c>
      <c r="I54" s="175">
        <v>2178081.3021382401</v>
      </c>
      <c r="J54" s="175">
        <v>2178081.3021382401</v>
      </c>
      <c r="K54" s="175">
        <v>2178081.3021382401</v>
      </c>
      <c r="L54" s="175">
        <v>2178081.3021382401</v>
      </c>
      <c r="M54" s="175">
        <v>2178081.3021382401</v>
      </c>
      <c r="N54" s="1"/>
      <c r="O54" s="1"/>
      <c r="P54" s="1"/>
      <c r="Q54" s="1"/>
      <c r="R54" s="1"/>
      <c r="S54" s="1"/>
      <c r="T54" s="1"/>
      <c r="U54" s="1"/>
      <c r="V54" s="1"/>
      <c r="W54" s="1"/>
    </row>
    <row r="55" spans="1:23" x14ac:dyDescent="0.4">
      <c r="A55" s="70">
        <f t="shared" si="2"/>
        <v>46934</v>
      </c>
      <c r="B55" s="1"/>
      <c r="C55" s="1"/>
      <c r="D55" s="175">
        <v>2195229.4662669599</v>
      </c>
      <c r="E55" s="175">
        <v>2195229.4662669599</v>
      </c>
      <c r="F55" s="175">
        <v>2195229.4662669599</v>
      </c>
      <c r="G55" s="175">
        <v>2195229.4662669599</v>
      </c>
      <c r="H55" s="175">
        <v>2195229.4662669599</v>
      </c>
      <c r="I55" s="175">
        <v>2195229.4662669599</v>
      </c>
      <c r="J55" s="175">
        <v>2195229.4662669599</v>
      </c>
      <c r="K55" s="175">
        <v>2195229.4662669599</v>
      </c>
      <c r="L55" s="175">
        <v>2195229.4662669599</v>
      </c>
      <c r="M55" s="175">
        <v>2195229.4662669599</v>
      </c>
      <c r="N55" s="1"/>
      <c r="O55" s="1"/>
      <c r="P55" s="1"/>
      <c r="Q55" s="1"/>
      <c r="R55" s="1"/>
      <c r="S55" s="1"/>
      <c r="T55" s="1"/>
      <c r="U55" s="1"/>
      <c r="V55" s="1"/>
      <c r="W55" s="1"/>
    </row>
    <row r="56" spans="1:23" x14ac:dyDescent="0.4">
      <c r="A56" s="70">
        <f t="shared" si="2"/>
        <v>46965</v>
      </c>
      <c r="B56" s="1"/>
      <c r="C56" s="1"/>
      <c r="D56" s="175">
        <v>2205791.8628219902</v>
      </c>
      <c r="E56" s="175">
        <v>2205791.8628219902</v>
      </c>
      <c r="F56" s="175">
        <v>2205791.8628219902</v>
      </c>
      <c r="G56" s="175">
        <v>2205791.8628219902</v>
      </c>
      <c r="H56" s="175">
        <v>2205791.8628219902</v>
      </c>
      <c r="I56" s="175">
        <v>2205791.8628219902</v>
      </c>
      <c r="J56" s="175">
        <v>2205791.8628219902</v>
      </c>
      <c r="K56" s="175">
        <v>2205791.8628219902</v>
      </c>
      <c r="L56" s="175">
        <v>2205791.8628219902</v>
      </c>
      <c r="M56" s="175">
        <v>2205791.8628219902</v>
      </c>
      <c r="N56" s="1"/>
      <c r="O56" s="1"/>
      <c r="P56" s="1"/>
      <c r="Q56" s="1"/>
      <c r="R56" s="1"/>
      <c r="S56" s="1"/>
      <c r="T56" s="1"/>
      <c r="U56" s="1"/>
      <c r="V56" s="1"/>
      <c r="W56" s="1"/>
    </row>
    <row r="57" spans="1:23" x14ac:dyDescent="0.4">
      <c r="A57" s="70">
        <f t="shared" si="2"/>
        <v>46996</v>
      </c>
      <c r="B57" s="1"/>
      <c r="C57" s="1"/>
      <c r="D57" s="175">
        <v>2216472.3725445098</v>
      </c>
      <c r="E57" s="175">
        <v>2216472.3725445098</v>
      </c>
      <c r="F57" s="175">
        <v>2216472.3725445098</v>
      </c>
      <c r="G57" s="175">
        <v>2216472.3725445098</v>
      </c>
      <c r="H57" s="175">
        <v>2216472.3725445098</v>
      </c>
      <c r="I57" s="175">
        <v>2216472.3725445098</v>
      </c>
      <c r="J57" s="175">
        <v>2216472.3725445098</v>
      </c>
      <c r="K57" s="175">
        <v>2216472.3725445098</v>
      </c>
      <c r="L57" s="175">
        <v>2216472.3725445098</v>
      </c>
      <c r="M57" s="175">
        <v>2216472.3725445098</v>
      </c>
      <c r="N57" s="1"/>
      <c r="O57" s="1"/>
      <c r="P57" s="1"/>
      <c r="Q57" s="1"/>
      <c r="R57" s="1"/>
      <c r="S57" s="1"/>
      <c r="T57" s="1"/>
      <c r="U57" s="1"/>
      <c r="V57" s="1"/>
      <c r="W57" s="1"/>
    </row>
    <row r="58" spans="1:23" x14ac:dyDescent="0.4">
      <c r="A58" s="70">
        <f t="shared" si="2"/>
        <v>47026</v>
      </c>
      <c r="B58" s="1"/>
      <c r="C58" s="1"/>
      <c r="D58" s="175">
        <v>2200678.4439928904</v>
      </c>
      <c r="E58" s="175">
        <v>2200678.4439928904</v>
      </c>
      <c r="F58" s="175">
        <v>2200678.4439928904</v>
      </c>
      <c r="G58" s="175">
        <v>2200678.4439928904</v>
      </c>
      <c r="H58" s="175">
        <v>2200678.4439928904</v>
      </c>
      <c r="I58" s="175">
        <v>2200678.4439928904</v>
      </c>
      <c r="J58" s="175">
        <v>2200678.4439928904</v>
      </c>
      <c r="K58" s="175">
        <v>2200678.4439928904</v>
      </c>
      <c r="L58" s="175">
        <v>2200678.4439928904</v>
      </c>
      <c r="M58" s="175">
        <v>2200678.4439928904</v>
      </c>
      <c r="N58" s="1"/>
      <c r="O58" s="1"/>
      <c r="P58" s="1"/>
      <c r="Q58" s="1"/>
      <c r="R58" s="1"/>
      <c r="S58" s="1"/>
      <c r="T58" s="1"/>
      <c r="U58" s="1"/>
      <c r="V58" s="1"/>
      <c r="W58" s="1"/>
    </row>
    <row r="59" spans="1:23" x14ac:dyDescent="0.4">
      <c r="A59" s="70">
        <f t="shared" si="2"/>
        <v>47057</v>
      </c>
      <c r="B59" s="1"/>
      <c r="C59" s="1"/>
      <c r="D59" s="175">
        <v>2184091.6039615404</v>
      </c>
      <c r="E59" s="175">
        <v>2184091.6039615404</v>
      </c>
      <c r="F59" s="175">
        <v>2184091.6039615404</v>
      </c>
      <c r="G59" s="175">
        <v>2184091.6039615404</v>
      </c>
      <c r="H59" s="175">
        <v>2184091.6039615404</v>
      </c>
      <c r="I59" s="175">
        <v>2184091.6039615404</v>
      </c>
      <c r="J59" s="175">
        <v>2184091.6039615404</v>
      </c>
      <c r="K59" s="175">
        <v>2184091.6039615404</v>
      </c>
      <c r="L59" s="175">
        <v>2184091.6039615404</v>
      </c>
      <c r="M59" s="175">
        <v>2184091.6039615404</v>
      </c>
      <c r="N59" s="1"/>
      <c r="O59" s="1"/>
      <c r="P59" s="1"/>
      <c r="Q59" s="1"/>
      <c r="R59" s="1"/>
      <c r="S59" s="1"/>
      <c r="T59" s="1"/>
      <c r="U59" s="1"/>
      <c r="V59" s="1"/>
      <c r="W59" s="1"/>
    </row>
    <row r="60" spans="1:23" x14ac:dyDescent="0.4">
      <c r="A60" s="70">
        <f t="shared" si="2"/>
        <v>47087</v>
      </c>
      <c r="B60" s="1"/>
      <c r="C60" s="1"/>
      <c r="D60" s="175">
        <v>2171689.0089046303</v>
      </c>
      <c r="E60" s="175">
        <v>2171689.0089046303</v>
      </c>
      <c r="F60" s="175">
        <v>2171689.0089046303</v>
      </c>
      <c r="G60" s="175">
        <v>2171689.0089046303</v>
      </c>
      <c r="H60" s="175">
        <v>2171689.0089046303</v>
      </c>
      <c r="I60" s="175">
        <v>2171689.0089046303</v>
      </c>
      <c r="J60" s="175">
        <v>2171689.0089046303</v>
      </c>
      <c r="K60" s="175">
        <v>2171689.0089046303</v>
      </c>
      <c r="L60" s="175">
        <v>2171689.0089046303</v>
      </c>
      <c r="M60" s="175">
        <v>2171689.0089046303</v>
      </c>
      <c r="N60" s="1"/>
      <c r="O60" s="1"/>
      <c r="P60" s="1"/>
      <c r="Q60" s="1"/>
      <c r="R60" s="1"/>
      <c r="S60" s="1"/>
      <c r="T60" s="1"/>
      <c r="U60" s="1"/>
      <c r="V60" s="1"/>
      <c r="W60" s="1"/>
    </row>
    <row r="61" spans="1:23" x14ac:dyDescent="0.4">
      <c r="A61" s="70">
        <f t="shared" si="2"/>
        <v>47118</v>
      </c>
      <c r="B61" s="1"/>
      <c r="C61" s="1"/>
      <c r="D61" s="175">
        <v>2192768.4735206701</v>
      </c>
      <c r="E61" s="175">
        <v>2192768.4735206701</v>
      </c>
      <c r="F61" s="175">
        <v>2192768.4735206701</v>
      </c>
      <c r="G61" s="175">
        <v>2192768.4735206701</v>
      </c>
      <c r="H61" s="175">
        <v>2192768.4735206701</v>
      </c>
      <c r="I61" s="175">
        <v>2192768.4735206701</v>
      </c>
      <c r="J61" s="175">
        <v>2192768.4735206701</v>
      </c>
      <c r="K61" s="175">
        <v>2192768.4735206701</v>
      </c>
      <c r="L61" s="175">
        <v>2192768.4735206701</v>
      </c>
      <c r="M61" s="175">
        <v>2192768.4735206701</v>
      </c>
      <c r="N61" s="1"/>
      <c r="O61" s="1"/>
      <c r="P61" s="1"/>
      <c r="Q61" s="1"/>
      <c r="R61" s="1"/>
      <c r="S61" s="1"/>
      <c r="T61" s="1"/>
      <c r="U61" s="1"/>
      <c r="V61" s="1"/>
      <c r="W61" s="1"/>
    </row>
    <row r="62" spans="1:23" x14ac:dyDescent="0.4">
      <c r="A62" s="70">
        <f t="shared" si="2"/>
        <v>47149</v>
      </c>
      <c r="B62" s="1"/>
      <c r="C62" s="1"/>
      <c r="D62" s="175">
        <v>2187617.1906919298</v>
      </c>
      <c r="E62" s="175">
        <v>2187617.1906919298</v>
      </c>
      <c r="F62" s="175">
        <v>2187617.1906919298</v>
      </c>
      <c r="G62" s="175">
        <v>2187617.1906919298</v>
      </c>
      <c r="H62" s="175">
        <v>2187617.1906919298</v>
      </c>
      <c r="I62" s="175">
        <v>2187617.1906919298</v>
      </c>
      <c r="J62" s="175">
        <v>2187617.1906919298</v>
      </c>
      <c r="K62" s="175">
        <v>2187617.1906919298</v>
      </c>
      <c r="L62" s="175">
        <v>2187617.1906919298</v>
      </c>
      <c r="M62" s="175">
        <v>2187617.1906919298</v>
      </c>
      <c r="N62" s="1"/>
      <c r="O62" s="1"/>
      <c r="P62" s="1"/>
      <c r="Q62" s="1"/>
      <c r="R62" s="1"/>
      <c r="S62" s="1"/>
      <c r="T62" s="1"/>
      <c r="U62" s="1"/>
      <c r="V62" s="1"/>
      <c r="W62" s="1"/>
    </row>
    <row r="63" spans="1:23" x14ac:dyDescent="0.4">
      <c r="A63" s="70">
        <f t="shared" si="2"/>
        <v>47177</v>
      </c>
      <c r="B63" s="1"/>
      <c r="C63" s="1"/>
      <c r="D63" s="175">
        <v>2166905.1709450302</v>
      </c>
      <c r="E63" s="175">
        <v>2166905.1709450302</v>
      </c>
      <c r="F63" s="175">
        <v>2166905.1709450302</v>
      </c>
      <c r="G63" s="175">
        <v>2166905.1709450302</v>
      </c>
      <c r="H63" s="175">
        <v>2166905.1709450302</v>
      </c>
      <c r="I63" s="175">
        <v>2166905.1709450302</v>
      </c>
      <c r="J63" s="175">
        <v>2166905.1709450302</v>
      </c>
      <c r="K63" s="175">
        <v>2166905.1709450302</v>
      </c>
      <c r="L63" s="175">
        <v>2166905.1709450302</v>
      </c>
      <c r="M63" s="175">
        <v>2166905.1709450302</v>
      </c>
      <c r="N63" s="1"/>
      <c r="O63" s="1"/>
      <c r="P63" s="1"/>
      <c r="Q63" s="1"/>
      <c r="R63" s="1"/>
      <c r="S63" s="1"/>
      <c r="T63" s="1"/>
      <c r="U63" s="1"/>
      <c r="V63" s="1"/>
      <c r="W63" s="1"/>
    </row>
    <row r="64" spans="1:23" x14ac:dyDescent="0.4">
      <c r="A64" s="70">
        <f t="shared" si="2"/>
        <v>47208</v>
      </c>
      <c r="B64" s="1"/>
      <c r="C64" s="1"/>
      <c r="D64" s="175">
        <v>2078176.1481558301</v>
      </c>
      <c r="E64" s="175">
        <v>2078176.1481558301</v>
      </c>
      <c r="F64" s="175">
        <v>2078176.1481558301</v>
      </c>
      <c r="G64" s="175">
        <v>2078176.1481558301</v>
      </c>
      <c r="H64" s="175">
        <v>2078176.1481558301</v>
      </c>
      <c r="I64" s="175">
        <v>2078176.1481558301</v>
      </c>
      <c r="J64" s="175">
        <v>2078176.1481558301</v>
      </c>
      <c r="K64" s="175">
        <v>2078176.1481558301</v>
      </c>
      <c r="L64" s="175">
        <v>2078176.1481558301</v>
      </c>
      <c r="M64" s="175">
        <v>2078176.1481558301</v>
      </c>
      <c r="N64" s="1"/>
      <c r="O64" s="1"/>
      <c r="P64" s="1"/>
      <c r="Q64" s="1"/>
      <c r="R64" s="1"/>
      <c r="S64" s="1"/>
      <c r="T64" s="1"/>
      <c r="U64" s="1"/>
      <c r="V64" s="1"/>
      <c r="W64" s="1"/>
    </row>
    <row r="65" spans="1:23" x14ac:dyDescent="0.4">
      <c r="A65" s="70">
        <f t="shared" si="2"/>
        <v>47238</v>
      </c>
      <c r="B65" s="1"/>
      <c r="C65" s="1"/>
      <c r="D65" s="175">
        <v>2250766.57107588</v>
      </c>
      <c r="E65" s="175">
        <v>2250766.57107588</v>
      </c>
      <c r="F65" s="175">
        <v>2250766.57107588</v>
      </c>
      <c r="G65" s="175">
        <v>2250766.57107588</v>
      </c>
      <c r="H65" s="175">
        <v>2250766.57107588</v>
      </c>
      <c r="I65" s="175">
        <v>2250766.57107588</v>
      </c>
      <c r="J65" s="175">
        <v>2250766.57107588</v>
      </c>
      <c r="K65" s="175">
        <v>2250766.57107588</v>
      </c>
      <c r="L65" s="175">
        <v>2250766.57107588</v>
      </c>
      <c r="M65" s="175">
        <v>2250766.57107588</v>
      </c>
      <c r="N65" s="1"/>
      <c r="O65" s="1"/>
      <c r="P65" s="1"/>
      <c r="Q65" s="1"/>
      <c r="R65" s="1"/>
      <c r="S65" s="1"/>
      <c r="T65" s="1"/>
      <c r="U65" s="1"/>
      <c r="V65" s="1"/>
      <c r="W65" s="1"/>
    </row>
    <row r="66" spans="1:23" x14ac:dyDescent="0.4">
      <c r="A66" s="70">
        <f t="shared" si="2"/>
        <v>47269</v>
      </c>
      <c r="B66" s="1"/>
      <c r="C66" s="1"/>
      <c r="D66" s="175">
        <v>2164496.6511058002</v>
      </c>
      <c r="E66" s="175">
        <v>2164496.6511058002</v>
      </c>
      <c r="F66" s="175">
        <v>2164496.6511058002</v>
      </c>
      <c r="G66" s="175">
        <v>2164496.6511058002</v>
      </c>
      <c r="H66" s="175">
        <v>2164496.6511058002</v>
      </c>
      <c r="I66" s="175">
        <v>2164496.6511058002</v>
      </c>
      <c r="J66" s="175">
        <v>2164496.6511058002</v>
      </c>
      <c r="K66" s="175">
        <v>2164496.6511058002</v>
      </c>
      <c r="L66" s="175">
        <v>2164496.6511058002</v>
      </c>
      <c r="M66" s="175">
        <v>2164496.6511058002</v>
      </c>
      <c r="N66" s="1"/>
      <c r="O66" s="1"/>
      <c r="P66" s="1"/>
      <c r="Q66" s="1"/>
      <c r="R66" s="1"/>
      <c r="S66" s="1"/>
      <c r="T66" s="1"/>
      <c r="U66" s="1"/>
      <c r="V66" s="1"/>
      <c r="W66" s="1"/>
    </row>
    <row r="67" spans="1:23" x14ac:dyDescent="0.4">
      <c r="A67" s="70">
        <f t="shared" si="2"/>
        <v>47299</v>
      </c>
      <c r="B67" s="1"/>
      <c r="C67" s="1"/>
      <c r="D67" s="175">
        <v>2185794.2726288196</v>
      </c>
      <c r="E67" s="175">
        <v>2185794.2726288196</v>
      </c>
      <c r="F67" s="175">
        <v>2185794.2726288196</v>
      </c>
      <c r="G67" s="175">
        <v>2185794.2726288196</v>
      </c>
      <c r="H67" s="175">
        <v>2185794.2726288196</v>
      </c>
      <c r="I67" s="175">
        <v>2185794.2726288196</v>
      </c>
      <c r="J67" s="175">
        <v>2185794.2726288196</v>
      </c>
      <c r="K67" s="175">
        <v>2185794.2726288196</v>
      </c>
      <c r="L67" s="175">
        <v>2185794.2726288196</v>
      </c>
      <c r="M67" s="175">
        <v>2185794.2726288196</v>
      </c>
      <c r="N67" s="1"/>
      <c r="O67" s="1"/>
      <c r="P67" s="1"/>
      <c r="Q67" s="1"/>
      <c r="R67" s="1"/>
      <c r="S67" s="1"/>
      <c r="T67" s="1"/>
      <c r="U67" s="1"/>
      <c r="V67" s="1"/>
      <c r="W67" s="1"/>
    </row>
    <row r="68" spans="1:23" x14ac:dyDescent="0.4">
      <c r="A68" s="70">
        <f t="shared" si="2"/>
        <v>47330</v>
      </c>
      <c r="B68" s="1"/>
      <c r="C68" s="1"/>
      <c r="D68" s="175">
        <v>2177462.6061710804</v>
      </c>
      <c r="E68" s="175">
        <v>2177462.6061710804</v>
      </c>
      <c r="F68" s="175">
        <v>2177462.6061710804</v>
      </c>
      <c r="G68" s="175">
        <v>2177462.6061710804</v>
      </c>
      <c r="H68" s="175">
        <v>2177462.6061710804</v>
      </c>
      <c r="I68" s="175">
        <v>2177462.6061710804</v>
      </c>
      <c r="J68" s="175">
        <v>2177462.6061710804</v>
      </c>
      <c r="K68" s="175">
        <v>2177462.6061710804</v>
      </c>
      <c r="L68" s="175">
        <v>2177462.6061710804</v>
      </c>
      <c r="M68" s="175">
        <v>2177462.6061710804</v>
      </c>
      <c r="N68" s="1"/>
      <c r="O68" s="1"/>
      <c r="P68" s="1"/>
      <c r="Q68" s="1"/>
      <c r="R68" s="1"/>
      <c r="S68" s="1"/>
      <c r="T68" s="1"/>
      <c r="U68" s="1"/>
      <c r="V68" s="1"/>
      <c r="W68" s="1"/>
    </row>
    <row r="69" spans="1:23" x14ac:dyDescent="0.4">
      <c r="A69" s="70">
        <f t="shared" si="2"/>
        <v>47361</v>
      </c>
      <c r="B69" s="1"/>
      <c r="C69" s="1"/>
      <c r="D69" s="175">
        <v>2179477.2855511699</v>
      </c>
      <c r="E69" s="175">
        <v>2179477.2855511699</v>
      </c>
      <c r="F69" s="175">
        <v>2179477.2855511699</v>
      </c>
      <c r="G69" s="175">
        <v>2179477.2855511699</v>
      </c>
      <c r="H69" s="175">
        <v>2179477.2855511699</v>
      </c>
      <c r="I69" s="175">
        <v>2179477.2855511699</v>
      </c>
      <c r="J69" s="175">
        <v>2179477.2855511699</v>
      </c>
      <c r="K69" s="175">
        <v>2179477.2855511699</v>
      </c>
      <c r="L69" s="175">
        <v>2179477.2855511699</v>
      </c>
      <c r="M69" s="175">
        <v>2179477.2855511699</v>
      </c>
      <c r="N69" s="1"/>
      <c r="O69" s="1"/>
      <c r="P69" s="1"/>
      <c r="Q69" s="1"/>
      <c r="R69" s="1"/>
      <c r="S69" s="1"/>
      <c r="T69" s="1"/>
      <c r="U69" s="1"/>
      <c r="V69" s="1"/>
      <c r="W69" s="1"/>
    </row>
    <row r="70" spans="1:23" x14ac:dyDescent="0.4">
      <c r="A70" s="70">
        <f t="shared" si="2"/>
        <v>47391</v>
      </c>
      <c r="B70" s="1"/>
      <c r="C70" s="1"/>
      <c r="D70" s="175">
        <v>2180989.3997466499</v>
      </c>
      <c r="E70" s="175">
        <v>2180989.3997466499</v>
      </c>
      <c r="F70" s="175">
        <v>2180989.3997466499</v>
      </c>
      <c r="G70" s="175">
        <v>2180989.3997466499</v>
      </c>
      <c r="H70" s="175">
        <v>2180989.3997466499</v>
      </c>
      <c r="I70" s="175">
        <v>2180989.3997466499</v>
      </c>
      <c r="J70" s="175">
        <v>2180989.3997466499</v>
      </c>
      <c r="K70" s="175">
        <v>2180989.3997466499</v>
      </c>
      <c r="L70" s="175">
        <v>2180989.3997466499</v>
      </c>
      <c r="M70" s="175">
        <v>2180989.3997466499</v>
      </c>
      <c r="N70" s="1"/>
      <c r="O70" s="1"/>
      <c r="P70" s="1"/>
      <c r="Q70" s="1"/>
      <c r="R70" s="1"/>
      <c r="S70" s="1"/>
      <c r="T70" s="1"/>
      <c r="U70" s="1"/>
      <c r="V70" s="1"/>
      <c r="W70" s="1"/>
    </row>
    <row r="71" spans="1:23" x14ac:dyDescent="0.4">
      <c r="A71" s="70">
        <f t="shared" si="2"/>
        <v>47422</v>
      </c>
      <c r="B71" s="1"/>
      <c r="C71" s="1"/>
      <c r="D71" s="175">
        <v>12700923.476069231</v>
      </c>
      <c r="E71" s="175">
        <v>12700923.476069231</v>
      </c>
      <c r="F71" s="175">
        <v>12700923.476069231</v>
      </c>
      <c r="G71" s="175">
        <v>12700923.476069231</v>
      </c>
      <c r="H71" s="175">
        <v>12700923.476069231</v>
      </c>
      <c r="I71" s="175">
        <v>12700923.476069231</v>
      </c>
      <c r="J71" s="175">
        <v>12700923.476069231</v>
      </c>
      <c r="K71" s="175">
        <v>12700923.476069231</v>
      </c>
      <c r="L71" s="175">
        <v>12700923.476069231</v>
      </c>
      <c r="M71" s="175">
        <v>12700923.476069231</v>
      </c>
      <c r="N71" s="1"/>
      <c r="O71" s="1"/>
      <c r="P71" s="1"/>
      <c r="Q71" s="1"/>
      <c r="R71" s="1"/>
      <c r="S71" s="1"/>
      <c r="T71" s="1"/>
      <c r="U71" s="1"/>
      <c r="V71" s="1"/>
      <c r="W71" s="1"/>
    </row>
    <row r="72" spans="1:23" x14ac:dyDescent="0.4">
      <c r="A72" s="70">
        <f t="shared" si="2"/>
        <v>47452</v>
      </c>
      <c r="B72" s="1"/>
      <c r="C72" s="1"/>
      <c r="D72" s="175">
        <v>1952439.8146794902</v>
      </c>
      <c r="E72" s="175">
        <v>1952439.8146794902</v>
      </c>
      <c r="F72" s="175">
        <v>1952439.8146794902</v>
      </c>
      <c r="G72" s="175">
        <v>1952439.8146794902</v>
      </c>
      <c r="H72" s="175">
        <v>1952439.8146794902</v>
      </c>
      <c r="I72" s="175">
        <v>1952439.8146794902</v>
      </c>
      <c r="J72" s="175">
        <v>1952439.8146794902</v>
      </c>
      <c r="K72" s="175">
        <v>1952439.8146794902</v>
      </c>
      <c r="L72" s="175">
        <v>1952439.8146794902</v>
      </c>
      <c r="M72" s="175">
        <v>1952439.8146794902</v>
      </c>
      <c r="N72" s="1"/>
      <c r="O72" s="1"/>
      <c r="P72" s="1"/>
      <c r="Q72" s="1"/>
      <c r="R72" s="1"/>
      <c r="S72" s="1"/>
      <c r="T72" s="1"/>
      <c r="U72" s="1"/>
      <c r="V72" s="1"/>
      <c r="W72" s="1"/>
    </row>
    <row r="73" spans="1:23" x14ac:dyDescent="0.4">
      <c r="A73" s="70">
        <f t="shared" si="2"/>
        <v>47483</v>
      </c>
      <c r="B73" s="1"/>
      <c r="C73" s="1"/>
      <c r="D73" s="175">
        <v>1954899.0157308001</v>
      </c>
      <c r="E73" s="175">
        <v>1954899.0157308001</v>
      </c>
      <c r="F73" s="175">
        <v>1954899.0157308001</v>
      </c>
      <c r="G73" s="175">
        <v>1954899.0157308001</v>
      </c>
      <c r="H73" s="175">
        <v>1954899.0157308001</v>
      </c>
      <c r="I73" s="175">
        <v>1954899.0157308001</v>
      </c>
      <c r="J73" s="175">
        <v>1954899.0157308001</v>
      </c>
      <c r="K73" s="175">
        <v>1954899.0157308001</v>
      </c>
      <c r="L73" s="175">
        <v>1954899.0157308001</v>
      </c>
      <c r="M73" s="175">
        <v>1954899.0157308001</v>
      </c>
      <c r="N73" s="1"/>
      <c r="O73" s="1"/>
      <c r="P73" s="1"/>
      <c r="Q73" s="1"/>
      <c r="R73" s="1"/>
      <c r="S73" s="1"/>
      <c r="T73" s="1"/>
      <c r="U73" s="1"/>
      <c r="V73" s="1"/>
      <c r="W73" s="1"/>
    </row>
    <row r="74" spans="1:23" x14ac:dyDescent="0.4">
      <c r="A74" s="70">
        <f t="shared" ref="A74:A137" si="3">EOMONTH(A73+1,0)</f>
        <v>47514</v>
      </c>
      <c r="B74" s="1"/>
      <c r="C74" s="1"/>
      <c r="D74" s="175">
        <v>1950778.1184501401</v>
      </c>
      <c r="E74" s="175">
        <v>1950778.1184501401</v>
      </c>
      <c r="F74" s="175">
        <v>1950778.1184501401</v>
      </c>
      <c r="G74" s="175">
        <v>1950778.1184501401</v>
      </c>
      <c r="H74" s="175">
        <v>1950778.1184501401</v>
      </c>
      <c r="I74" s="175">
        <v>1950778.1184501401</v>
      </c>
      <c r="J74" s="175">
        <v>1950778.1184501401</v>
      </c>
      <c r="K74" s="175">
        <v>1950778.1184501401</v>
      </c>
      <c r="L74" s="175">
        <v>1950778.1184501401</v>
      </c>
      <c r="M74" s="175">
        <v>1950778.1184501401</v>
      </c>
      <c r="N74" s="1"/>
      <c r="O74" s="1"/>
      <c r="P74" s="1"/>
      <c r="Q74" s="1"/>
      <c r="R74" s="1"/>
      <c r="S74" s="1"/>
      <c r="T74" s="1"/>
      <c r="U74" s="1"/>
      <c r="V74" s="1"/>
      <c r="W74" s="1"/>
    </row>
    <row r="75" spans="1:23" x14ac:dyDescent="0.4">
      <c r="A75" s="70">
        <f t="shared" si="3"/>
        <v>47542</v>
      </c>
      <c r="B75" s="1"/>
      <c r="C75" s="1"/>
      <c r="D75" s="175">
        <v>1951898.8797784301</v>
      </c>
      <c r="E75" s="175">
        <v>1951898.8797784301</v>
      </c>
      <c r="F75" s="175">
        <v>1951898.8797784301</v>
      </c>
      <c r="G75" s="175">
        <v>1951898.8797784301</v>
      </c>
      <c r="H75" s="175">
        <v>1951898.8797784301</v>
      </c>
      <c r="I75" s="175">
        <v>1951898.8797784301</v>
      </c>
      <c r="J75" s="175">
        <v>1951898.8797784301</v>
      </c>
      <c r="K75" s="175">
        <v>1951898.8797784301</v>
      </c>
      <c r="L75" s="175">
        <v>1951898.8797784301</v>
      </c>
      <c r="M75" s="175">
        <v>1951898.8797784301</v>
      </c>
      <c r="N75" s="1"/>
      <c r="O75" s="1"/>
      <c r="P75" s="1"/>
      <c r="Q75" s="1"/>
      <c r="R75" s="1"/>
      <c r="S75" s="1"/>
      <c r="T75" s="1"/>
      <c r="U75" s="1"/>
      <c r="V75" s="1"/>
      <c r="W75" s="1"/>
    </row>
    <row r="76" spans="1:23" x14ac:dyDescent="0.4">
      <c r="A76" s="70">
        <f t="shared" si="3"/>
        <v>47573</v>
      </c>
      <c r="B76" s="1"/>
      <c r="C76" s="1"/>
      <c r="D76" s="175">
        <v>1831982.2715702299</v>
      </c>
      <c r="E76" s="175">
        <v>1831982.2715702299</v>
      </c>
      <c r="F76" s="175">
        <v>1831982.2715702299</v>
      </c>
      <c r="G76" s="175">
        <v>1831982.2715702299</v>
      </c>
      <c r="H76" s="175">
        <v>1831982.2715702299</v>
      </c>
      <c r="I76" s="175">
        <v>1831982.2715702299</v>
      </c>
      <c r="J76" s="175">
        <v>1831982.2715702299</v>
      </c>
      <c r="K76" s="175">
        <v>1831982.2715702299</v>
      </c>
      <c r="L76" s="175">
        <v>1831982.2715702299</v>
      </c>
      <c r="M76" s="175">
        <v>1831982.2715702299</v>
      </c>
      <c r="N76" s="1"/>
      <c r="O76" s="1"/>
      <c r="P76" s="1"/>
      <c r="Q76" s="1"/>
      <c r="R76" s="1"/>
      <c r="S76" s="1"/>
      <c r="T76" s="1"/>
      <c r="U76" s="1"/>
      <c r="V76" s="1"/>
      <c r="W76" s="1"/>
    </row>
    <row r="77" spans="1:23" x14ac:dyDescent="0.4">
      <c r="A77" s="70">
        <f t="shared" si="3"/>
        <v>47603</v>
      </c>
      <c r="B77" s="1"/>
      <c r="C77" s="1"/>
      <c r="D77" s="175">
        <v>2003613.2459053497</v>
      </c>
      <c r="E77" s="175">
        <v>2003613.2459053497</v>
      </c>
      <c r="F77" s="175">
        <v>2003613.2459053497</v>
      </c>
      <c r="G77" s="175">
        <v>2003613.2459053497</v>
      </c>
      <c r="H77" s="175">
        <v>2003613.2459053497</v>
      </c>
      <c r="I77" s="175">
        <v>2003613.2459053497</v>
      </c>
      <c r="J77" s="175">
        <v>2003613.2459053497</v>
      </c>
      <c r="K77" s="175">
        <v>2003613.2459053497</v>
      </c>
      <c r="L77" s="175">
        <v>2003613.2459053497</v>
      </c>
      <c r="M77" s="175">
        <v>2003613.2459053497</v>
      </c>
      <c r="N77" s="1"/>
      <c r="O77" s="1"/>
      <c r="P77" s="1"/>
      <c r="Q77" s="1"/>
      <c r="R77" s="1"/>
      <c r="S77" s="1"/>
      <c r="T77" s="1"/>
      <c r="U77" s="1"/>
      <c r="V77" s="1"/>
      <c r="W77" s="1"/>
    </row>
    <row r="78" spans="1:23" x14ac:dyDescent="0.4">
      <c r="A78" s="70">
        <f t="shared" si="3"/>
        <v>47634</v>
      </c>
      <c r="B78" s="1"/>
      <c r="C78" s="1"/>
      <c r="D78" s="175">
        <v>1925050.1011478102</v>
      </c>
      <c r="E78" s="175">
        <v>1925050.1011478102</v>
      </c>
      <c r="F78" s="175">
        <v>1925050.1011478102</v>
      </c>
      <c r="G78" s="175">
        <v>1925050.1011478102</v>
      </c>
      <c r="H78" s="175">
        <v>1925050.1011478102</v>
      </c>
      <c r="I78" s="175">
        <v>1925050.1011478102</v>
      </c>
      <c r="J78" s="175">
        <v>1925050.1011478102</v>
      </c>
      <c r="K78" s="175">
        <v>1925050.1011478102</v>
      </c>
      <c r="L78" s="175">
        <v>1925050.1011478102</v>
      </c>
      <c r="M78" s="175">
        <v>1925050.1011478102</v>
      </c>
      <c r="N78" s="1"/>
      <c r="O78" s="1"/>
      <c r="P78" s="1"/>
      <c r="Q78" s="1"/>
      <c r="R78" s="1"/>
      <c r="S78" s="1"/>
      <c r="T78" s="1"/>
      <c r="U78" s="1"/>
      <c r="V78" s="1"/>
      <c r="W78" s="1"/>
    </row>
    <row r="79" spans="1:23" x14ac:dyDescent="0.4">
      <c r="A79" s="70">
        <f t="shared" si="3"/>
        <v>47664</v>
      </c>
      <c r="B79" s="1"/>
      <c r="C79" s="1"/>
      <c r="D79" s="175">
        <v>1942554.56025429</v>
      </c>
      <c r="E79" s="175">
        <v>1942554.56025429</v>
      </c>
      <c r="F79" s="175">
        <v>1942554.56025429</v>
      </c>
      <c r="G79" s="175">
        <v>1942554.56025429</v>
      </c>
      <c r="H79" s="175">
        <v>1942554.56025429</v>
      </c>
      <c r="I79" s="175">
        <v>1942554.56025429</v>
      </c>
      <c r="J79" s="175">
        <v>1942554.56025429</v>
      </c>
      <c r="K79" s="175">
        <v>1942554.56025429</v>
      </c>
      <c r="L79" s="175">
        <v>1942554.56025429</v>
      </c>
      <c r="M79" s="175">
        <v>1942554.56025429</v>
      </c>
      <c r="N79" s="1"/>
      <c r="O79" s="1"/>
      <c r="P79" s="1"/>
      <c r="Q79" s="1"/>
      <c r="R79" s="1"/>
      <c r="S79" s="1"/>
      <c r="T79" s="1"/>
      <c r="U79" s="1"/>
      <c r="V79" s="1"/>
      <c r="W79" s="1"/>
    </row>
    <row r="80" spans="1:23" x14ac:dyDescent="0.4">
      <c r="A80" s="70">
        <f t="shared" si="3"/>
        <v>47695</v>
      </c>
      <c r="B80" s="1"/>
      <c r="C80" s="1"/>
      <c r="D80" s="175">
        <v>1917191.8959189903</v>
      </c>
      <c r="E80" s="175">
        <v>1917191.8959189903</v>
      </c>
      <c r="F80" s="175">
        <v>1917191.8959189903</v>
      </c>
      <c r="G80" s="175">
        <v>1917191.8959189903</v>
      </c>
      <c r="H80" s="175">
        <v>1917191.8959189903</v>
      </c>
      <c r="I80" s="175">
        <v>1917191.8959189903</v>
      </c>
      <c r="J80" s="175">
        <v>1917191.8959189903</v>
      </c>
      <c r="K80" s="175">
        <v>1917191.8959189903</v>
      </c>
      <c r="L80" s="175">
        <v>1917191.8959189903</v>
      </c>
      <c r="M80" s="175">
        <v>1917191.8959189903</v>
      </c>
      <c r="N80" s="1"/>
      <c r="O80" s="1"/>
      <c r="P80" s="1"/>
      <c r="Q80" s="1"/>
      <c r="R80" s="1"/>
      <c r="S80" s="1"/>
      <c r="T80" s="1"/>
      <c r="U80" s="1"/>
      <c r="V80" s="1"/>
      <c r="W80" s="1"/>
    </row>
    <row r="81" spans="1:23" x14ac:dyDescent="0.4">
      <c r="A81" s="70">
        <f t="shared" si="3"/>
        <v>47726</v>
      </c>
      <c r="B81" s="1"/>
      <c r="C81" s="1"/>
      <c r="D81" s="175">
        <v>1927904.8354988301</v>
      </c>
      <c r="E81" s="175">
        <v>1927904.8354988301</v>
      </c>
      <c r="F81" s="175">
        <v>1927904.8354988301</v>
      </c>
      <c r="G81" s="175">
        <v>1927904.8354988301</v>
      </c>
      <c r="H81" s="175">
        <v>1927904.8354988301</v>
      </c>
      <c r="I81" s="175">
        <v>1927904.8354988301</v>
      </c>
      <c r="J81" s="175">
        <v>1927904.8354988301</v>
      </c>
      <c r="K81" s="175">
        <v>1927904.8354988301</v>
      </c>
      <c r="L81" s="175">
        <v>1927904.8354988301</v>
      </c>
      <c r="M81" s="175">
        <v>1927904.8354988301</v>
      </c>
      <c r="N81" s="1"/>
      <c r="O81" s="1"/>
      <c r="P81" s="1"/>
      <c r="Q81" s="1"/>
      <c r="R81" s="1"/>
      <c r="S81" s="1"/>
      <c r="T81" s="1"/>
      <c r="U81" s="1"/>
      <c r="V81" s="1"/>
      <c r="W81" s="1"/>
    </row>
    <row r="82" spans="1:23" x14ac:dyDescent="0.4">
      <c r="A82" s="70">
        <f t="shared" si="3"/>
        <v>47756</v>
      </c>
      <c r="B82" s="1"/>
      <c r="C82" s="1"/>
      <c r="D82" s="175">
        <v>1201948.21951994</v>
      </c>
      <c r="E82" s="175">
        <v>1201948.21951994</v>
      </c>
      <c r="F82" s="175">
        <v>1201948.21951994</v>
      </c>
      <c r="G82" s="175">
        <v>1201948.21951994</v>
      </c>
      <c r="H82" s="175">
        <v>1201948.21951994</v>
      </c>
      <c r="I82" s="175">
        <v>1201948.21951994</v>
      </c>
      <c r="J82" s="175">
        <v>1201948.21951994</v>
      </c>
      <c r="K82" s="175">
        <v>1201948.21951994</v>
      </c>
      <c r="L82" s="175">
        <v>1201948.21951994</v>
      </c>
      <c r="M82" s="175">
        <v>1201948.21951994</v>
      </c>
      <c r="N82" s="1"/>
      <c r="O82" s="1"/>
      <c r="P82" s="1"/>
      <c r="Q82" s="1"/>
      <c r="R82" s="1"/>
      <c r="S82" s="1"/>
      <c r="T82" s="1"/>
      <c r="U82" s="1"/>
      <c r="V82" s="1"/>
      <c r="W82" s="1"/>
    </row>
    <row r="83" spans="1:23" x14ac:dyDescent="0.4">
      <c r="A83" s="70">
        <f t="shared" si="3"/>
        <v>47787</v>
      </c>
      <c r="B83" s="1"/>
      <c r="C83" s="1"/>
      <c r="D83" s="175">
        <v>1189600.47775375</v>
      </c>
      <c r="E83" s="175">
        <v>1189600.47775375</v>
      </c>
      <c r="F83" s="175">
        <v>1189600.47775375</v>
      </c>
      <c r="G83" s="175">
        <v>1189600.47775375</v>
      </c>
      <c r="H83" s="175">
        <v>1189600.47775375</v>
      </c>
      <c r="I83" s="175">
        <v>1189600.47775375</v>
      </c>
      <c r="J83" s="175">
        <v>1189600.47775375</v>
      </c>
      <c r="K83" s="175">
        <v>1189600.47775375</v>
      </c>
      <c r="L83" s="175">
        <v>1189600.47775375</v>
      </c>
      <c r="M83" s="175">
        <v>1189600.47775375</v>
      </c>
      <c r="N83" s="1"/>
      <c r="O83" s="1"/>
      <c r="P83" s="1"/>
      <c r="Q83" s="1"/>
      <c r="R83" s="1"/>
      <c r="S83" s="1"/>
      <c r="T83" s="1"/>
      <c r="U83" s="1"/>
      <c r="V83" s="1"/>
      <c r="W83" s="1"/>
    </row>
    <row r="84" spans="1:23" x14ac:dyDescent="0.4">
      <c r="A84" s="70">
        <f t="shared" si="3"/>
        <v>47817</v>
      </c>
      <c r="B84" s="1"/>
      <c r="C84" s="1"/>
      <c r="D84" s="175">
        <v>1200928.4256382599</v>
      </c>
      <c r="E84" s="175">
        <v>1200928.4256382599</v>
      </c>
      <c r="F84" s="175">
        <v>1200928.4256382599</v>
      </c>
      <c r="G84" s="175">
        <v>1200928.4256382599</v>
      </c>
      <c r="H84" s="175">
        <v>1200928.4256382599</v>
      </c>
      <c r="I84" s="175">
        <v>1200928.4256382599</v>
      </c>
      <c r="J84" s="175">
        <v>1200928.4256382599</v>
      </c>
      <c r="K84" s="175">
        <v>1200928.4256382599</v>
      </c>
      <c r="L84" s="175">
        <v>1200928.4256382599</v>
      </c>
      <c r="M84" s="175">
        <v>1200928.4256382599</v>
      </c>
      <c r="N84" s="1"/>
      <c r="O84" s="1"/>
      <c r="P84" s="1"/>
      <c r="Q84" s="1"/>
      <c r="R84" s="1"/>
      <c r="S84" s="1"/>
      <c r="T84" s="1"/>
      <c r="U84" s="1"/>
      <c r="V84" s="1"/>
      <c r="W84" s="1"/>
    </row>
    <row r="85" spans="1:23" x14ac:dyDescent="0.4">
      <c r="A85" s="70">
        <f t="shared" si="3"/>
        <v>47848</v>
      </c>
      <c r="B85" s="1"/>
      <c r="C85" s="1"/>
      <c r="D85" s="175">
        <v>1189320.8817974203</v>
      </c>
      <c r="E85" s="175">
        <v>1189320.8817974203</v>
      </c>
      <c r="F85" s="175">
        <v>1189320.8817974203</v>
      </c>
      <c r="G85" s="175">
        <v>1189320.8817974203</v>
      </c>
      <c r="H85" s="175">
        <v>1189320.8817974203</v>
      </c>
      <c r="I85" s="175">
        <v>1189320.8817974203</v>
      </c>
      <c r="J85" s="175">
        <v>1189320.8817974203</v>
      </c>
      <c r="K85" s="175">
        <v>1189320.8817974203</v>
      </c>
      <c r="L85" s="175">
        <v>1189320.8817974203</v>
      </c>
      <c r="M85" s="175">
        <v>1189320.8817974203</v>
      </c>
      <c r="N85" s="1"/>
      <c r="O85" s="1"/>
      <c r="P85" s="1"/>
      <c r="Q85" s="1"/>
      <c r="R85" s="1"/>
      <c r="S85" s="1"/>
      <c r="T85" s="1"/>
      <c r="U85" s="1"/>
      <c r="V85" s="1"/>
      <c r="W85" s="1"/>
    </row>
    <row r="86" spans="1:23" x14ac:dyDescent="0.4">
      <c r="A86" s="70">
        <f t="shared" si="3"/>
        <v>47879</v>
      </c>
      <c r="B86" s="1"/>
      <c r="C86" s="1"/>
      <c r="D86" s="175">
        <v>1189511.9094425901</v>
      </c>
      <c r="E86" s="175">
        <v>1189511.9094425901</v>
      </c>
      <c r="F86" s="175">
        <v>1189511.9094425901</v>
      </c>
      <c r="G86" s="175">
        <v>1189511.9094425901</v>
      </c>
      <c r="H86" s="175">
        <v>1189511.9094425901</v>
      </c>
      <c r="I86" s="175">
        <v>1189511.9094425901</v>
      </c>
      <c r="J86" s="175">
        <v>1189511.9094425901</v>
      </c>
      <c r="K86" s="175">
        <v>1189511.9094425901</v>
      </c>
      <c r="L86" s="175">
        <v>1189511.9094425901</v>
      </c>
      <c r="M86" s="175">
        <v>1189511.9094425901</v>
      </c>
      <c r="N86" s="1"/>
      <c r="O86" s="1"/>
      <c r="P86" s="1"/>
      <c r="Q86" s="1"/>
      <c r="R86" s="1"/>
      <c r="S86" s="1"/>
      <c r="T86" s="1"/>
      <c r="U86" s="1"/>
      <c r="V86" s="1"/>
      <c r="W86" s="1"/>
    </row>
    <row r="87" spans="1:23" x14ac:dyDescent="0.4">
      <c r="A87" s="70">
        <f t="shared" si="3"/>
        <v>47907</v>
      </c>
      <c r="B87" s="1"/>
      <c r="C87" s="1"/>
      <c r="D87" s="175">
        <v>1177585.99544063</v>
      </c>
      <c r="E87" s="175">
        <v>1177585.99544063</v>
      </c>
      <c r="F87" s="175">
        <v>1177585.99544063</v>
      </c>
      <c r="G87" s="175">
        <v>1177585.99544063</v>
      </c>
      <c r="H87" s="175">
        <v>1177585.99544063</v>
      </c>
      <c r="I87" s="175">
        <v>1177585.99544063</v>
      </c>
      <c r="J87" s="175">
        <v>1177585.99544063</v>
      </c>
      <c r="K87" s="175">
        <v>1177585.99544063</v>
      </c>
      <c r="L87" s="175">
        <v>1177585.99544063</v>
      </c>
      <c r="M87" s="175">
        <v>1177585.99544063</v>
      </c>
      <c r="N87" s="1"/>
      <c r="O87" s="1"/>
      <c r="P87" s="1"/>
      <c r="Q87" s="1"/>
      <c r="R87" s="1"/>
      <c r="S87" s="1"/>
      <c r="T87" s="1"/>
      <c r="U87" s="1"/>
      <c r="V87" s="1"/>
      <c r="W87" s="1"/>
    </row>
    <row r="88" spans="1:23" x14ac:dyDescent="0.4">
      <c r="A88" s="70">
        <f t="shared" si="3"/>
        <v>47938</v>
      </c>
      <c r="B88" s="1"/>
      <c r="C88" s="1"/>
      <c r="D88" s="175">
        <v>1077709.9561842298</v>
      </c>
      <c r="E88" s="175">
        <v>1077709.9561842298</v>
      </c>
      <c r="F88" s="175">
        <v>1077709.9561842298</v>
      </c>
      <c r="G88" s="175">
        <v>1077709.9561842298</v>
      </c>
      <c r="H88" s="175">
        <v>1077709.9561842298</v>
      </c>
      <c r="I88" s="175">
        <v>1077709.9561842298</v>
      </c>
      <c r="J88" s="175">
        <v>1077709.9561842298</v>
      </c>
      <c r="K88" s="175">
        <v>1077709.9561842298</v>
      </c>
      <c r="L88" s="175">
        <v>1077709.9561842298</v>
      </c>
      <c r="M88" s="175">
        <v>1077709.9561842298</v>
      </c>
      <c r="N88" s="1"/>
      <c r="O88" s="1"/>
      <c r="P88" s="1"/>
      <c r="Q88" s="1"/>
      <c r="R88" s="1"/>
      <c r="S88" s="1"/>
      <c r="T88" s="1"/>
      <c r="U88" s="1"/>
      <c r="V88" s="1"/>
      <c r="W88" s="1"/>
    </row>
    <row r="89" spans="1:23" x14ac:dyDescent="0.4">
      <c r="A89" s="70">
        <f t="shared" si="3"/>
        <v>47968</v>
      </c>
      <c r="B89" s="1"/>
      <c r="C89" s="1"/>
      <c r="D89" s="175">
        <v>1173781.78250542</v>
      </c>
      <c r="E89" s="175">
        <v>1173781.78250542</v>
      </c>
      <c r="F89" s="175">
        <v>1173781.78250542</v>
      </c>
      <c r="G89" s="175">
        <v>1173781.78250542</v>
      </c>
      <c r="H89" s="175">
        <v>1173781.78250542</v>
      </c>
      <c r="I89" s="175">
        <v>1173781.78250542</v>
      </c>
      <c r="J89" s="175">
        <v>1173781.78250542</v>
      </c>
      <c r="K89" s="175">
        <v>1173781.78250542</v>
      </c>
      <c r="L89" s="175">
        <v>1173781.78250542</v>
      </c>
      <c r="M89" s="175">
        <v>1173781.78250542</v>
      </c>
      <c r="N89" s="1"/>
      <c r="O89" s="1"/>
      <c r="P89" s="1"/>
      <c r="Q89" s="1"/>
      <c r="R89" s="1"/>
      <c r="S89" s="1"/>
      <c r="T89" s="1"/>
      <c r="U89" s="1"/>
      <c r="V89" s="1"/>
      <c r="W89" s="1"/>
    </row>
    <row r="90" spans="1:23" x14ac:dyDescent="0.4">
      <c r="A90" s="70">
        <f t="shared" si="3"/>
        <v>47999</v>
      </c>
      <c r="B90" s="1"/>
      <c r="C90" s="1"/>
      <c r="D90" s="175">
        <v>1114009.91124271</v>
      </c>
      <c r="E90" s="175">
        <v>1114009.91124271</v>
      </c>
      <c r="F90" s="175">
        <v>1114009.91124271</v>
      </c>
      <c r="G90" s="175">
        <v>1114009.91124271</v>
      </c>
      <c r="H90" s="175">
        <v>1114009.91124271</v>
      </c>
      <c r="I90" s="175">
        <v>1114009.91124271</v>
      </c>
      <c r="J90" s="175">
        <v>1114009.91124271</v>
      </c>
      <c r="K90" s="175">
        <v>1114009.91124271</v>
      </c>
      <c r="L90" s="175">
        <v>1114009.91124271</v>
      </c>
      <c r="M90" s="175">
        <v>1114009.91124271</v>
      </c>
      <c r="N90" s="1"/>
      <c r="O90" s="1"/>
      <c r="P90" s="1"/>
      <c r="Q90" s="1"/>
      <c r="R90" s="1"/>
      <c r="S90" s="1"/>
      <c r="T90" s="1"/>
      <c r="U90" s="1"/>
      <c r="V90" s="1"/>
      <c r="W90" s="1"/>
    </row>
    <row r="91" spans="1:23" x14ac:dyDescent="0.4">
      <c r="A91" s="70">
        <f t="shared" si="3"/>
        <v>48029</v>
      </c>
      <c r="B91" s="1"/>
      <c r="C91" s="1"/>
      <c r="D91" s="175">
        <v>1120657.1288811301</v>
      </c>
      <c r="E91" s="175">
        <v>1120657.1288811301</v>
      </c>
      <c r="F91" s="175">
        <v>1120657.1288811301</v>
      </c>
      <c r="G91" s="175">
        <v>1120657.1288811301</v>
      </c>
      <c r="H91" s="175">
        <v>1120657.1288811301</v>
      </c>
      <c r="I91" s="175">
        <v>1120657.1288811301</v>
      </c>
      <c r="J91" s="175">
        <v>1120657.1288811301</v>
      </c>
      <c r="K91" s="175">
        <v>1120657.1288811301</v>
      </c>
      <c r="L91" s="175">
        <v>1120657.1288811301</v>
      </c>
      <c r="M91" s="175">
        <v>1120657.1288811301</v>
      </c>
      <c r="N91" s="1"/>
      <c r="O91" s="1"/>
      <c r="P91" s="1"/>
      <c r="Q91" s="1"/>
      <c r="R91" s="1"/>
      <c r="S91" s="1"/>
      <c r="T91" s="1"/>
      <c r="U91" s="1"/>
      <c r="V91" s="1"/>
      <c r="W91" s="1"/>
    </row>
    <row r="92" spans="1:23" x14ac:dyDescent="0.4">
      <c r="A92" s="70">
        <f t="shared" si="3"/>
        <v>48060</v>
      </c>
      <c r="B92" s="1"/>
      <c r="C92" s="1"/>
      <c r="D92" s="175">
        <v>1098215.1566345301</v>
      </c>
      <c r="E92" s="175">
        <v>1098215.1566345301</v>
      </c>
      <c r="F92" s="175">
        <v>1098215.1566345301</v>
      </c>
      <c r="G92" s="175">
        <v>1098215.1566345301</v>
      </c>
      <c r="H92" s="175">
        <v>1098215.1566345301</v>
      </c>
      <c r="I92" s="175">
        <v>1098215.1566345301</v>
      </c>
      <c r="J92" s="175">
        <v>1098215.1566345301</v>
      </c>
      <c r="K92" s="175">
        <v>1098215.1566345301</v>
      </c>
      <c r="L92" s="175">
        <v>1098215.1566345301</v>
      </c>
      <c r="M92" s="175">
        <v>1098215.1566345301</v>
      </c>
      <c r="N92" s="1"/>
      <c r="O92" s="1"/>
      <c r="P92" s="1"/>
      <c r="Q92" s="1"/>
      <c r="R92" s="1"/>
      <c r="S92" s="1"/>
      <c r="T92" s="1"/>
      <c r="U92" s="1"/>
      <c r="V92" s="1"/>
      <c r="W92" s="1"/>
    </row>
    <row r="93" spans="1:23" x14ac:dyDescent="0.4">
      <c r="A93" s="70">
        <f t="shared" si="3"/>
        <v>48091</v>
      </c>
      <c r="B93" s="1"/>
      <c r="C93" s="1"/>
      <c r="D93" s="175">
        <v>1105365.2217411499</v>
      </c>
      <c r="E93" s="175">
        <v>1105365.2217411499</v>
      </c>
      <c r="F93" s="175">
        <v>1105365.2217411499</v>
      </c>
      <c r="G93" s="175">
        <v>1105365.2217411499</v>
      </c>
      <c r="H93" s="175">
        <v>1105365.2217411499</v>
      </c>
      <c r="I93" s="175">
        <v>1105365.2217411499</v>
      </c>
      <c r="J93" s="175">
        <v>1105365.2217411499</v>
      </c>
      <c r="K93" s="175">
        <v>1105365.2217411499</v>
      </c>
      <c r="L93" s="175">
        <v>1105365.2217411499</v>
      </c>
      <c r="M93" s="175">
        <v>1105365.2217411499</v>
      </c>
      <c r="N93" s="1"/>
      <c r="O93" s="1"/>
      <c r="P93" s="1"/>
      <c r="Q93" s="1"/>
      <c r="R93" s="1"/>
      <c r="S93" s="1"/>
      <c r="T93" s="1"/>
      <c r="U93" s="1"/>
      <c r="V93" s="1"/>
      <c r="W93" s="1"/>
    </row>
    <row r="94" spans="1:23" x14ac:dyDescent="0.4">
      <c r="A94" s="70">
        <f t="shared" si="3"/>
        <v>48121</v>
      </c>
      <c r="B94" s="1"/>
      <c r="C94" s="1"/>
      <c r="D94" s="175">
        <v>1097226.7873273599</v>
      </c>
      <c r="E94" s="175">
        <v>1097226.7873273599</v>
      </c>
      <c r="F94" s="175">
        <v>1097226.7873273599</v>
      </c>
      <c r="G94" s="175">
        <v>1097226.7873273599</v>
      </c>
      <c r="H94" s="175">
        <v>1097226.7873273599</v>
      </c>
      <c r="I94" s="175">
        <v>1097226.7873273599</v>
      </c>
      <c r="J94" s="175">
        <v>1097226.7873273599</v>
      </c>
      <c r="K94" s="175">
        <v>1097226.7873273599</v>
      </c>
      <c r="L94" s="175">
        <v>1097226.7873273599</v>
      </c>
      <c r="M94" s="175">
        <v>1097226.7873273599</v>
      </c>
      <c r="N94" s="1"/>
      <c r="O94" s="1"/>
      <c r="P94" s="1"/>
      <c r="Q94" s="1"/>
      <c r="R94" s="1"/>
      <c r="S94" s="1"/>
      <c r="T94" s="1"/>
      <c r="U94" s="1"/>
      <c r="V94" s="1"/>
      <c r="W94" s="1"/>
    </row>
    <row r="95" spans="1:23" x14ac:dyDescent="0.4">
      <c r="A95" s="70">
        <f t="shared" si="3"/>
        <v>48152</v>
      </c>
      <c r="B95" s="1"/>
      <c r="C95" s="1"/>
      <c r="D95" s="175">
        <v>1074696.1073135701</v>
      </c>
      <c r="E95" s="175">
        <v>1074696.1073135701</v>
      </c>
      <c r="F95" s="175">
        <v>1074696.1073135701</v>
      </c>
      <c r="G95" s="175">
        <v>1074696.1073135701</v>
      </c>
      <c r="H95" s="175">
        <v>1074696.1073135701</v>
      </c>
      <c r="I95" s="175">
        <v>1074696.1073135701</v>
      </c>
      <c r="J95" s="175">
        <v>1074696.1073135701</v>
      </c>
      <c r="K95" s="175">
        <v>1074696.1073135701</v>
      </c>
      <c r="L95" s="175">
        <v>1074696.1073135701</v>
      </c>
      <c r="M95" s="175">
        <v>1074696.1073135701</v>
      </c>
      <c r="N95" s="1"/>
      <c r="O95" s="1"/>
      <c r="P95" s="1"/>
      <c r="Q95" s="1"/>
      <c r="R95" s="1"/>
      <c r="S95" s="1"/>
      <c r="T95" s="1"/>
      <c r="U95" s="1"/>
      <c r="V95" s="1"/>
      <c r="W95" s="1"/>
    </row>
    <row r="96" spans="1:23" x14ac:dyDescent="0.4">
      <c r="A96" s="70">
        <f t="shared" si="3"/>
        <v>48182</v>
      </c>
      <c r="B96" s="1"/>
      <c r="C96" s="1"/>
      <c r="D96" s="175">
        <v>1079006.1476085701</v>
      </c>
      <c r="E96" s="175">
        <v>1079006.1476085701</v>
      </c>
      <c r="F96" s="175">
        <v>1079006.1476085701</v>
      </c>
      <c r="G96" s="175">
        <v>1079006.1476085701</v>
      </c>
      <c r="H96" s="175">
        <v>1079006.1476085701</v>
      </c>
      <c r="I96" s="175">
        <v>1079006.1476085701</v>
      </c>
      <c r="J96" s="175">
        <v>1079006.1476085701</v>
      </c>
      <c r="K96" s="175">
        <v>1079006.1476085701</v>
      </c>
      <c r="L96" s="175">
        <v>1079006.1476085701</v>
      </c>
      <c r="M96" s="175">
        <v>1079006.1476085701</v>
      </c>
      <c r="N96" s="1"/>
      <c r="O96" s="1"/>
      <c r="P96" s="1"/>
      <c r="Q96" s="1"/>
      <c r="R96" s="1"/>
      <c r="S96" s="1"/>
      <c r="T96" s="1"/>
      <c r="U96" s="1"/>
      <c r="V96" s="1"/>
      <c r="W96" s="1"/>
    </row>
    <row r="97" spans="1:23" x14ac:dyDescent="0.4">
      <c r="A97" s="70">
        <f t="shared" si="3"/>
        <v>48213</v>
      </c>
      <c r="B97" s="1"/>
      <c r="C97" s="1"/>
      <c r="D97" s="175">
        <v>1061797.5701907799</v>
      </c>
      <c r="E97" s="175">
        <v>1061797.5701907799</v>
      </c>
      <c r="F97" s="175">
        <v>1061797.5701907799</v>
      </c>
      <c r="G97" s="175">
        <v>1061797.5701907799</v>
      </c>
      <c r="H97" s="175">
        <v>1061797.5701907799</v>
      </c>
      <c r="I97" s="175">
        <v>1061797.5701907799</v>
      </c>
      <c r="J97" s="175">
        <v>1061797.5701907799</v>
      </c>
      <c r="K97" s="175">
        <v>1061797.5701907799</v>
      </c>
      <c r="L97" s="175">
        <v>1061797.5701907799</v>
      </c>
      <c r="M97" s="175">
        <v>1061797.5701907799</v>
      </c>
      <c r="N97" s="1"/>
      <c r="O97" s="1"/>
      <c r="P97" s="1"/>
      <c r="Q97" s="1"/>
      <c r="R97" s="1"/>
      <c r="S97" s="1"/>
      <c r="T97" s="1"/>
      <c r="U97" s="1"/>
      <c r="V97" s="1"/>
      <c r="W97" s="1"/>
    </row>
    <row r="98" spans="1:23" x14ac:dyDescent="0.4">
      <c r="A98" s="70">
        <f t="shared" si="3"/>
        <v>48244</v>
      </c>
      <c r="B98" s="1"/>
      <c r="C98" s="1"/>
      <c r="D98" s="175">
        <v>1073817.5049955701</v>
      </c>
      <c r="E98" s="175">
        <v>1073817.5049955701</v>
      </c>
      <c r="F98" s="175">
        <v>1073817.5049955701</v>
      </c>
      <c r="G98" s="175">
        <v>1073817.5049955701</v>
      </c>
      <c r="H98" s="175">
        <v>1073817.5049955701</v>
      </c>
      <c r="I98" s="175">
        <v>1073817.5049955701</v>
      </c>
      <c r="J98" s="175">
        <v>1073817.5049955701</v>
      </c>
      <c r="K98" s="175">
        <v>1073817.5049955701</v>
      </c>
      <c r="L98" s="175">
        <v>1073817.5049955701</v>
      </c>
      <c r="M98" s="175">
        <v>1073817.5049955701</v>
      </c>
      <c r="N98" s="1"/>
      <c r="O98" s="1"/>
      <c r="P98" s="1"/>
      <c r="Q98" s="1"/>
      <c r="R98" s="1"/>
      <c r="S98" s="1"/>
      <c r="T98" s="1"/>
      <c r="U98" s="1"/>
      <c r="V98" s="1"/>
      <c r="W98" s="1"/>
    </row>
    <row r="99" spans="1:23" x14ac:dyDescent="0.4">
      <c r="A99" s="70">
        <f t="shared" si="3"/>
        <v>48273</v>
      </c>
      <c r="B99" s="1"/>
      <c r="C99" s="1"/>
      <c r="D99" s="175">
        <v>1075331.7449653801</v>
      </c>
      <c r="E99" s="175">
        <v>1075331.7449653801</v>
      </c>
      <c r="F99" s="175">
        <v>1075331.7449653801</v>
      </c>
      <c r="G99" s="175">
        <v>1075331.7449653801</v>
      </c>
      <c r="H99" s="175">
        <v>1075331.7449653801</v>
      </c>
      <c r="I99" s="175">
        <v>1075331.7449653801</v>
      </c>
      <c r="J99" s="175">
        <v>1075331.7449653801</v>
      </c>
      <c r="K99" s="175">
        <v>1075331.7449653801</v>
      </c>
      <c r="L99" s="175">
        <v>1075331.7449653801</v>
      </c>
      <c r="M99" s="175">
        <v>1075331.7449653801</v>
      </c>
      <c r="N99" s="1"/>
      <c r="O99" s="1"/>
      <c r="P99" s="1"/>
      <c r="Q99" s="1"/>
      <c r="R99" s="1"/>
      <c r="S99" s="1"/>
      <c r="T99" s="1"/>
      <c r="U99" s="1"/>
      <c r="V99" s="1"/>
      <c r="W99" s="1"/>
    </row>
    <row r="100" spans="1:23" x14ac:dyDescent="0.4">
      <c r="A100" s="70">
        <f t="shared" si="3"/>
        <v>48304</v>
      </c>
      <c r="B100" s="1"/>
      <c r="C100" s="1"/>
      <c r="D100" s="175">
        <v>1043848.7446243301</v>
      </c>
      <c r="E100" s="175">
        <v>1043848.7446243301</v>
      </c>
      <c r="F100" s="175">
        <v>1043848.7446243301</v>
      </c>
      <c r="G100" s="175">
        <v>1043848.7446243301</v>
      </c>
      <c r="H100" s="175">
        <v>1043848.7446243301</v>
      </c>
      <c r="I100" s="175">
        <v>1043848.7446243301</v>
      </c>
      <c r="J100" s="175">
        <v>1043848.7446243301</v>
      </c>
      <c r="K100" s="175">
        <v>1043848.7446243301</v>
      </c>
      <c r="L100" s="175">
        <v>1043848.7446243301</v>
      </c>
      <c r="M100" s="175">
        <v>1043848.7446243301</v>
      </c>
      <c r="N100" s="1"/>
      <c r="O100" s="1"/>
      <c r="P100" s="1"/>
      <c r="Q100" s="1"/>
      <c r="R100" s="1"/>
      <c r="S100" s="1"/>
      <c r="T100" s="1"/>
      <c r="U100" s="1"/>
      <c r="V100" s="1"/>
      <c r="W100" s="1"/>
    </row>
    <row r="101" spans="1:23" x14ac:dyDescent="0.4">
      <c r="A101" s="70">
        <f t="shared" si="3"/>
        <v>48334</v>
      </c>
      <c r="B101" s="1"/>
      <c r="C101" s="1"/>
      <c r="D101" s="175">
        <v>1080998.2081625198</v>
      </c>
      <c r="E101" s="175">
        <v>1080998.2081625198</v>
      </c>
      <c r="F101" s="175">
        <v>1080998.2081625198</v>
      </c>
      <c r="G101" s="175">
        <v>1080998.2081625198</v>
      </c>
      <c r="H101" s="175">
        <v>1080998.2081625198</v>
      </c>
      <c r="I101" s="175">
        <v>1080998.2081625198</v>
      </c>
      <c r="J101" s="175">
        <v>1080998.2081625198</v>
      </c>
      <c r="K101" s="175">
        <v>1080998.2081625198</v>
      </c>
      <c r="L101" s="175">
        <v>1080998.2081625198</v>
      </c>
      <c r="M101" s="175">
        <v>1080998.2081625198</v>
      </c>
      <c r="N101" s="1"/>
      <c r="O101" s="1"/>
      <c r="P101" s="1"/>
      <c r="Q101" s="1"/>
      <c r="R101" s="1"/>
      <c r="S101" s="1"/>
      <c r="T101" s="1"/>
      <c r="U101" s="1"/>
      <c r="V101" s="1"/>
      <c r="W101" s="1"/>
    </row>
    <row r="102" spans="1:23" x14ac:dyDescent="0.4">
      <c r="A102" s="70">
        <f t="shared" si="3"/>
        <v>48365</v>
      </c>
      <c r="B102" s="1"/>
      <c r="C102" s="1"/>
      <c r="D102" s="175">
        <v>1070497.8366711303</v>
      </c>
      <c r="E102" s="175">
        <v>1070497.8366711303</v>
      </c>
      <c r="F102" s="175">
        <v>1070497.8366711303</v>
      </c>
      <c r="G102" s="175">
        <v>1070497.8366711303</v>
      </c>
      <c r="H102" s="175">
        <v>1070497.8366711303</v>
      </c>
      <c r="I102" s="175">
        <v>1070497.8366711303</v>
      </c>
      <c r="J102" s="175">
        <v>1070497.8366711303</v>
      </c>
      <c r="K102" s="175">
        <v>1070497.8366711303</v>
      </c>
      <c r="L102" s="175">
        <v>1070497.8366711303</v>
      </c>
      <c r="M102" s="175">
        <v>1070497.8366711303</v>
      </c>
      <c r="N102" s="1"/>
      <c r="O102" s="1"/>
      <c r="P102" s="1"/>
      <c r="Q102" s="1"/>
      <c r="R102" s="1"/>
      <c r="S102" s="1"/>
      <c r="T102" s="1"/>
      <c r="U102" s="1"/>
      <c r="V102" s="1"/>
      <c r="W102" s="1"/>
    </row>
    <row r="103" spans="1:23" x14ac:dyDescent="0.4">
      <c r="A103" s="70">
        <f t="shared" si="3"/>
        <v>48395</v>
      </c>
      <c r="B103" s="1"/>
      <c r="C103" s="1"/>
      <c r="D103" s="175">
        <v>865807.12822374993</v>
      </c>
      <c r="E103" s="175">
        <v>865807.12822374993</v>
      </c>
      <c r="F103" s="175">
        <v>865807.12822374993</v>
      </c>
      <c r="G103" s="175">
        <v>865807.12822374993</v>
      </c>
      <c r="H103" s="175">
        <v>865807.12822374993</v>
      </c>
      <c r="I103" s="175">
        <v>865807.12822374993</v>
      </c>
      <c r="J103" s="175">
        <v>865807.12822374993</v>
      </c>
      <c r="K103" s="175">
        <v>865807.12822374993</v>
      </c>
      <c r="L103" s="175">
        <v>865807.12822374993</v>
      </c>
      <c r="M103" s="175">
        <v>865807.12822374993</v>
      </c>
      <c r="N103" s="1"/>
      <c r="O103" s="1"/>
      <c r="P103" s="1"/>
      <c r="Q103" s="1"/>
      <c r="R103" s="1"/>
      <c r="S103" s="1"/>
      <c r="T103" s="1"/>
      <c r="U103" s="1"/>
      <c r="V103" s="1"/>
      <c r="W103" s="1"/>
    </row>
    <row r="104" spans="1:23" x14ac:dyDescent="0.4">
      <c r="A104" s="70">
        <f t="shared" si="3"/>
        <v>48426</v>
      </c>
      <c r="B104" s="1"/>
      <c r="C104" s="1"/>
      <c r="D104" s="175">
        <v>855932.47088263999</v>
      </c>
      <c r="E104" s="175">
        <v>855932.47088263999</v>
      </c>
      <c r="F104" s="175">
        <v>855932.47088263999</v>
      </c>
      <c r="G104" s="175">
        <v>855932.47088263999</v>
      </c>
      <c r="H104" s="175">
        <v>855932.47088263999</v>
      </c>
      <c r="I104" s="175">
        <v>855932.47088263999</v>
      </c>
      <c r="J104" s="175">
        <v>855932.47088263999</v>
      </c>
      <c r="K104" s="175">
        <v>855932.47088263999</v>
      </c>
      <c r="L104" s="175">
        <v>855932.47088263999</v>
      </c>
      <c r="M104" s="175">
        <v>855932.47088263999</v>
      </c>
      <c r="N104" s="1"/>
      <c r="O104" s="1"/>
      <c r="P104" s="1"/>
      <c r="Q104" s="1"/>
      <c r="R104" s="1"/>
      <c r="S104" s="1"/>
      <c r="T104" s="1"/>
      <c r="U104" s="1"/>
      <c r="V104" s="1"/>
      <c r="W104" s="1"/>
    </row>
    <row r="105" spans="1:23" x14ac:dyDescent="0.4">
      <c r="A105" s="70">
        <f t="shared" si="3"/>
        <v>48457</v>
      </c>
      <c r="B105" s="1"/>
      <c r="C105" s="1"/>
      <c r="D105" s="175">
        <v>866874.35742464988</v>
      </c>
      <c r="E105" s="175">
        <v>866874.35742464988</v>
      </c>
      <c r="F105" s="175">
        <v>866874.35742464988</v>
      </c>
      <c r="G105" s="175">
        <v>866874.35742464988</v>
      </c>
      <c r="H105" s="175">
        <v>866874.35742464988</v>
      </c>
      <c r="I105" s="175">
        <v>866874.35742464988</v>
      </c>
      <c r="J105" s="175">
        <v>866874.35742464988</v>
      </c>
      <c r="K105" s="175">
        <v>866874.35742464988</v>
      </c>
      <c r="L105" s="175">
        <v>866874.35742464988</v>
      </c>
      <c r="M105" s="175">
        <v>866874.35742464988</v>
      </c>
      <c r="N105" s="1"/>
      <c r="O105" s="1"/>
      <c r="P105" s="1"/>
      <c r="Q105" s="1"/>
      <c r="R105" s="1"/>
      <c r="S105" s="1"/>
      <c r="T105" s="1"/>
      <c r="U105" s="1"/>
      <c r="V105" s="1"/>
      <c r="W105" s="1"/>
    </row>
    <row r="106" spans="1:23" x14ac:dyDescent="0.4">
      <c r="A106" s="70">
        <f t="shared" si="3"/>
        <v>48487</v>
      </c>
      <c r="B106" s="1"/>
      <c r="C106" s="1"/>
      <c r="D106" s="175">
        <v>19752229.32950319</v>
      </c>
      <c r="E106" s="175">
        <v>19752229.32950319</v>
      </c>
      <c r="F106" s="175">
        <v>19752229.32950319</v>
      </c>
      <c r="G106" s="175">
        <v>19752229.32950319</v>
      </c>
      <c r="H106" s="175">
        <v>19752229.32950319</v>
      </c>
      <c r="I106" s="175">
        <v>19752229.32950319</v>
      </c>
      <c r="J106" s="175">
        <v>19752229.32950319</v>
      </c>
      <c r="K106" s="175">
        <v>19752229.32950319</v>
      </c>
      <c r="L106" s="175">
        <v>19752229.32950319</v>
      </c>
      <c r="M106" s="175">
        <v>19752229.32950319</v>
      </c>
      <c r="N106" s="1"/>
      <c r="O106" s="1"/>
      <c r="P106" s="1"/>
      <c r="Q106" s="1"/>
      <c r="R106" s="1"/>
      <c r="S106" s="1"/>
      <c r="T106" s="1"/>
      <c r="U106" s="1"/>
      <c r="V106" s="1"/>
      <c r="W106" s="1"/>
    </row>
    <row r="107" spans="1:23" x14ac:dyDescent="0.4">
      <c r="A107" s="70">
        <f t="shared" si="3"/>
        <v>48518</v>
      </c>
      <c r="B107" s="1"/>
      <c r="C107" s="1"/>
      <c r="D107" s="175">
        <v>513986.99729032</v>
      </c>
      <c r="E107" s="175">
        <v>513986.99729032</v>
      </c>
      <c r="F107" s="175">
        <v>513986.99729032</v>
      </c>
      <c r="G107" s="175">
        <v>513986.99729032</v>
      </c>
      <c r="H107" s="175">
        <v>513986.99729032</v>
      </c>
      <c r="I107" s="175">
        <v>513986.99729032</v>
      </c>
      <c r="J107" s="175">
        <v>513986.99729032</v>
      </c>
      <c r="K107" s="175">
        <v>513986.99729032</v>
      </c>
      <c r="L107" s="175">
        <v>513986.99729032</v>
      </c>
      <c r="M107" s="175">
        <v>513986.99729032</v>
      </c>
      <c r="N107" s="1"/>
      <c r="O107" s="1"/>
      <c r="P107" s="1"/>
      <c r="Q107" s="1"/>
      <c r="R107" s="1"/>
      <c r="S107" s="1"/>
      <c r="T107" s="1"/>
      <c r="U107" s="1"/>
      <c r="V107" s="1"/>
      <c r="W107" s="1"/>
    </row>
    <row r="108" spans="1:23" x14ac:dyDescent="0.4">
      <c r="A108" s="70">
        <f t="shared" si="3"/>
        <v>48548</v>
      </c>
      <c r="B108" s="1"/>
      <c r="C108" s="1"/>
      <c r="D108" s="175">
        <v>517810.45157517004</v>
      </c>
      <c r="E108" s="175">
        <v>517810.45157517004</v>
      </c>
      <c r="F108" s="175">
        <v>517810.45157517004</v>
      </c>
      <c r="G108" s="175">
        <v>517810.45157517004</v>
      </c>
      <c r="H108" s="175">
        <v>517810.45157517004</v>
      </c>
      <c r="I108" s="175">
        <v>517810.45157517004</v>
      </c>
      <c r="J108" s="175">
        <v>517810.45157517004</v>
      </c>
      <c r="K108" s="175">
        <v>517810.45157517004</v>
      </c>
      <c r="L108" s="175">
        <v>517810.45157517004</v>
      </c>
      <c r="M108" s="175">
        <v>517810.45157517004</v>
      </c>
      <c r="N108" s="1"/>
      <c r="O108" s="1"/>
      <c r="P108" s="1"/>
      <c r="Q108" s="1"/>
      <c r="R108" s="1"/>
      <c r="S108" s="1"/>
      <c r="T108" s="1"/>
      <c r="U108" s="1"/>
      <c r="V108" s="1"/>
      <c r="W108" s="1"/>
    </row>
    <row r="109" spans="1:23" x14ac:dyDescent="0.4">
      <c r="A109" s="70">
        <f t="shared" si="3"/>
        <v>48579</v>
      </c>
      <c r="B109" s="1"/>
      <c r="C109" s="1"/>
      <c r="D109" s="175">
        <v>517103.81224584003</v>
      </c>
      <c r="E109" s="175">
        <v>517103.81224584003</v>
      </c>
      <c r="F109" s="175">
        <v>517103.81224584003</v>
      </c>
      <c r="G109" s="175">
        <v>517103.81224584003</v>
      </c>
      <c r="H109" s="175">
        <v>517103.81224584003</v>
      </c>
      <c r="I109" s="175">
        <v>517103.81224584003</v>
      </c>
      <c r="J109" s="175">
        <v>517103.81224584003</v>
      </c>
      <c r="K109" s="175">
        <v>517103.81224584003</v>
      </c>
      <c r="L109" s="175">
        <v>517103.81224584003</v>
      </c>
      <c r="M109" s="175">
        <v>517103.81224584003</v>
      </c>
      <c r="N109" s="1"/>
      <c r="O109" s="1"/>
      <c r="P109" s="1"/>
      <c r="Q109" s="1"/>
      <c r="R109" s="1"/>
      <c r="S109" s="1"/>
      <c r="T109" s="1"/>
      <c r="U109" s="1"/>
      <c r="V109" s="1"/>
      <c r="W109" s="1"/>
    </row>
    <row r="110" spans="1:23" x14ac:dyDescent="0.4">
      <c r="A110" s="70">
        <f t="shared" si="3"/>
        <v>48610</v>
      </c>
      <c r="B110" s="1"/>
      <c r="C110" s="1"/>
      <c r="D110" s="175">
        <v>502867.55337852001</v>
      </c>
      <c r="E110" s="175">
        <v>502867.55337852001</v>
      </c>
      <c r="F110" s="175">
        <v>502867.55337852001</v>
      </c>
      <c r="G110" s="175">
        <v>502867.55337852001</v>
      </c>
      <c r="H110" s="175">
        <v>502867.55337852001</v>
      </c>
      <c r="I110" s="175">
        <v>502867.55337852001</v>
      </c>
      <c r="J110" s="175">
        <v>502867.55337852001</v>
      </c>
      <c r="K110" s="175">
        <v>502867.55337852001</v>
      </c>
      <c r="L110" s="175">
        <v>502867.55337852001</v>
      </c>
      <c r="M110" s="175">
        <v>502867.55337852001</v>
      </c>
      <c r="N110" s="1"/>
      <c r="O110" s="1"/>
      <c r="P110" s="1"/>
      <c r="Q110" s="1"/>
      <c r="R110" s="1"/>
      <c r="S110" s="1"/>
      <c r="T110" s="1"/>
      <c r="U110" s="1"/>
      <c r="V110" s="1"/>
      <c r="W110" s="1"/>
    </row>
    <row r="111" spans="1:23" x14ac:dyDescent="0.4">
      <c r="A111" s="70">
        <f t="shared" si="3"/>
        <v>48638</v>
      </c>
      <c r="B111" s="1"/>
      <c r="C111" s="1"/>
      <c r="D111" s="175">
        <v>489679.81111792999</v>
      </c>
      <c r="E111" s="175">
        <v>489679.81111792999</v>
      </c>
      <c r="F111" s="175">
        <v>489679.81111792999</v>
      </c>
      <c r="G111" s="175">
        <v>489679.81111792999</v>
      </c>
      <c r="H111" s="175">
        <v>489679.81111792999</v>
      </c>
      <c r="I111" s="175">
        <v>489679.81111792999</v>
      </c>
      <c r="J111" s="175">
        <v>489679.81111792999</v>
      </c>
      <c r="K111" s="175">
        <v>489679.81111792999</v>
      </c>
      <c r="L111" s="175">
        <v>489679.81111792999</v>
      </c>
      <c r="M111" s="175">
        <v>489679.81111792999</v>
      </c>
      <c r="N111" s="1"/>
      <c r="O111" s="1"/>
      <c r="P111" s="1"/>
      <c r="Q111" s="1"/>
      <c r="R111" s="1"/>
      <c r="S111" s="1"/>
      <c r="T111" s="1"/>
      <c r="U111" s="1"/>
      <c r="V111" s="1"/>
      <c r="W111" s="1"/>
    </row>
    <row r="112" spans="1:23" x14ac:dyDescent="0.4">
      <c r="A112" s="70">
        <f t="shared" si="3"/>
        <v>48669</v>
      </c>
      <c r="B112" s="1"/>
      <c r="C112" s="1"/>
      <c r="D112" s="175">
        <v>467704.82986814005</v>
      </c>
      <c r="E112" s="175">
        <v>467704.82986814005</v>
      </c>
      <c r="F112" s="175">
        <v>467704.82986814005</v>
      </c>
      <c r="G112" s="175">
        <v>467704.82986814005</v>
      </c>
      <c r="H112" s="175">
        <v>467704.82986814005</v>
      </c>
      <c r="I112" s="175">
        <v>467704.82986814005</v>
      </c>
      <c r="J112" s="175">
        <v>467704.82986814005</v>
      </c>
      <c r="K112" s="175">
        <v>467704.82986814005</v>
      </c>
      <c r="L112" s="175">
        <v>467704.82986814005</v>
      </c>
      <c r="M112" s="175">
        <v>467704.82986814005</v>
      </c>
      <c r="N112" s="1"/>
      <c r="O112" s="1"/>
      <c r="P112" s="1"/>
      <c r="Q112" s="1"/>
      <c r="R112" s="1"/>
      <c r="S112" s="1"/>
      <c r="T112" s="1"/>
      <c r="U112" s="1"/>
      <c r="V112" s="1"/>
      <c r="W112" s="1"/>
    </row>
    <row r="113" spans="1:23" x14ac:dyDescent="0.4">
      <c r="A113" s="70">
        <f t="shared" si="3"/>
        <v>48699</v>
      </c>
      <c r="B113" s="1"/>
      <c r="C113" s="1"/>
      <c r="D113" s="175">
        <v>479042.76458173001</v>
      </c>
      <c r="E113" s="175">
        <v>479042.76458173001</v>
      </c>
      <c r="F113" s="175">
        <v>479042.76458173001</v>
      </c>
      <c r="G113" s="175">
        <v>479042.76458173001</v>
      </c>
      <c r="H113" s="175">
        <v>479042.76458173001</v>
      </c>
      <c r="I113" s="175">
        <v>479042.76458173001</v>
      </c>
      <c r="J113" s="175">
        <v>479042.76458173001</v>
      </c>
      <c r="K113" s="175">
        <v>479042.76458173001</v>
      </c>
      <c r="L113" s="175">
        <v>479042.76458173001</v>
      </c>
      <c r="M113" s="175">
        <v>479042.76458173001</v>
      </c>
      <c r="N113" s="1"/>
      <c r="O113" s="1"/>
      <c r="P113" s="1"/>
      <c r="Q113" s="1"/>
      <c r="R113" s="1"/>
      <c r="S113" s="1"/>
      <c r="T113" s="1"/>
      <c r="U113" s="1"/>
      <c r="V113" s="1"/>
      <c r="W113" s="1"/>
    </row>
    <row r="114" spans="1:23" x14ac:dyDescent="0.4">
      <c r="A114" s="70">
        <f t="shared" si="3"/>
        <v>48730</v>
      </c>
      <c r="B114" s="1"/>
      <c r="C114" s="1"/>
      <c r="D114" s="175">
        <v>470265.59025459993</v>
      </c>
      <c r="E114" s="175">
        <v>470265.59025459993</v>
      </c>
      <c r="F114" s="175">
        <v>470265.59025459993</v>
      </c>
      <c r="G114" s="175">
        <v>470265.59025459993</v>
      </c>
      <c r="H114" s="175">
        <v>470265.59025459993</v>
      </c>
      <c r="I114" s="175">
        <v>470265.59025459993</v>
      </c>
      <c r="J114" s="175">
        <v>470265.59025459993</v>
      </c>
      <c r="K114" s="175">
        <v>470265.59025459993</v>
      </c>
      <c r="L114" s="175">
        <v>470265.59025459993</v>
      </c>
      <c r="M114" s="175">
        <v>470265.59025459993</v>
      </c>
      <c r="N114" s="1"/>
      <c r="O114" s="1"/>
      <c r="P114" s="1"/>
      <c r="Q114" s="1"/>
      <c r="R114" s="1"/>
      <c r="S114" s="1"/>
      <c r="T114" s="1"/>
      <c r="U114" s="1"/>
      <c r="V114" s="1"/>
      <c r="W114" s="1"/>
    </row>
    <row r="115" spans="1:23" x14ac:dyDescent="0.4">
      <c r="A115" s="70">
        <f t="shared" si="3"/>
        <v>48760</v>
      </c>
      <c r="B115" s="1"/>
      <c r="C115" s="1"/>
      <c r="D115" s="175">
        <v>466510.97083796002</v>
      </c>
      <c r="E115" s="175">
        <v>466510.97083796002</v>
      </c>
      <c r="F115" s="175">
        <v>466510.97083796002</v>
      </c>
      <c r="G115" s="175">
        <v>466510.97083796002</v>
      </c>
      <c r="H115" s="175">
        <v>466510.97083796002</v>
      </c>
      <c r="I115" s="175">
        <v>466510.97083796002</v>
      </c>
      <c r="J115" s="175">
        <v>466510.97083796002</v>
      </c>
      <c r="K115" s="175">
        <v>466510.97083796002</v>
      </c>
      <c r="L115" s="175">
        <v>466510.97083796002</v>
      </c>
      <c r="M115" s="175">
        <v>466510.97083796002</v>
      </c>
      <c r="N115" s="1"/>
      <c r="O115" s="1"/>
      <c r="P115" s="1"/>
      <c r="Q115" s="1"/>
      <c r="R115" s="1"/>
      <c r="S115" s="1"/>
      <c r="T115" s="1"/>
      <c r="U115" s="1"/>
      <c r="V115" s="1"/>
      <c r="W115" s="1"/>
    </row>
    <row r="116" spans="1:23" x14ac:dyDescent="0.4">
      <c r="A116" s="70">
        <f t="shared" si="3"/>
        <v>48791</v>
      </c>
      <c r="B116" s="1"/>
      <c r="C116" s="1"/>
      <c r="D116" s="175">
        <v>460314.66822225001</v>
      </c>
      <c r="E116" s="175">
        <v>460314.66822225001</v>
      </c>
      <c r="F116" s="175">
        <v>460314.66822225001</v>
      </c>
      <c r="G116" s="175">
        <v>460314.66822225001</v>
      </c>
      <c r="H116" s="175">
        <v>460314.66822225001</v>
      </c>
      <c r="I116" s="175">
        <v>460314.66822225001</v>
      </c>
      <c r="J116" s="175">
        <v>460314.66822225001</v>
      </c>
      <c r="K116" s="175">
        <v>460314.66822225001</v>
      </c>
      <c r="L116" s="175">
        <v>460314.66822225001</v>
      </c>
      <c r="M116" s="175">
        <v>460314.66822225001</v>
      </c>
      <c r="N116" s="1"/>
      <c r="O116" s="1"/>
      <c r="P116" s="1"/>
      <c r="Q116" s="1"/>
      <c r="R116" s="1"/>
      <c r="S116" s="1"/>
      <c r="T116" s="1"/>
      <c r="U116" s="1"/>
      <c r="V116" s="1"/>
      <c r="W116" s="1"/>
    </row>
    <row r="117" spans="1:23" x14ac:dyDescent="0.4">
      <c r="A117" s="70">
        <f t="shared" si="3"/>
        <v>48822</v>
      </c>
      <c r="B117" s="1"/>
      <c r="C117" s="1"/>
      <c r="D117" s="175">
        <v>454202.97991062002</v>
      </c>
      <c r="E117" s="175">
        <v>454202.97991062002</v>
      </c>
      <c r="F117" s="175">
        <v>454202.97991062002</v>
      </c>
      <c r="G117" s="175">
        <v>454202.97991062002</v>
      </c>
      <c r="H117" s="175">
        <v>454202.97991062002</v>
      </c>
      <c r="I117" s="175">
        <v>454202.97991062002</v>
      </c>
      <c r="J117" s="175">
        <v>454202.97991062002</v>
      </c>
      <c r="K117" s="175">
        <v>454202.97991062002</v>
      </c>
      <c r="L117" s="175">
        <v>454202.97991062002</v>
      </c>
      <c r="M117" s="175">
        <v>454202.97991062002</v>
      </c>
      <c r="N117" s="1"/>
      <c r="O117" s="1"/>
      <c r="P117" s="1"/>
      <c r="Q117" s="1"/>
      <c r="R117" s="1"/>
      <c r="S117" s="1"/>
      <c r="T117" s="1"/>
      <c r="U117" s="1"/>
      <c r="V117" s="1"/>
      <c r="W117" s="1"/>
    </row>
    <row r="118" spans="1:23" x14ac:dyDescent="0.4">
      <c r="A118" s="70">
        <f t="shared" si="3"/>
        <v>48852</v>
      </c>
      <c r="B118" s="1"/>
      <c r="C118" s="1"/>
      <c r="D118" s="175">
        <v>436137.04117508</v>
      </c>
      <c r="E118" s="175">
        <v>436137.04117508</v>
      </c>
      <c r="F118" s="175">
        <v>436137.04117508</v>
      </c>
      <c r="G118" s="175">
        <v>436137.04117508</v>
      </c>
      <c r="H118" s="175">
        <v>436137.04117508</v>
      </c>
      <c r="I118" s="175">
        <v>436137.04117508</v>
      </c>
      <c r="J118" s="175">
        <v>436137.04117508</v>
      </c>
      <c r="K118" s="175">
        <v>436137.04117508</v>
      </c>
      <c r="L118" s="175">
        <v>436137.04117508</v>
      </c>
      <c r="M118" s="175">
        <v>436137.04117508</v>
      </c>
      <c r="N118" s="1"/>
      <c r="O118" s="1"/>
      <c r="P118" s="1"/>
      <c r="Q118" s="1"/>
      <c r="R118" s="1"/>
      <c r="S118" s="1"/>
      <c r="T118" s="1"/>
      <c r="U118" s="1"/>
      <c r="V118" s="1"/>
      <c r="W118" s="1"/>
    </row>
    <row r="119" spans="1:23" x14ac:dyDescent="0.4">
      <c r="A119" s="70">
        <f t="shared" si="3"/>
        <v>48883</v>
      </c>
      <c r="B119" s="1"/>
      <c r="C119" s="1"/>
      <c r="D119" s="175">
        <v>424732.18225265999</v>
      </c>
      <c r="E119" s="175">
        <v>424732.18225265999</v>
      </c>
      <c r="F119" s="175">
        <v>424732.18225265999</v>
      </c>
      <c r="G119" s="175">
        <v>424732.18225265999</v>
      </c>
      <c r="H119" s="175">
        <v>424732.18225265999</v>
      </c>
      <c r="I119" s="175">
        <v>424732.18225265999</v>
      </c>
      <c r="J119" s="175">
        <v>424732.18225265999</v>
      </c>
      <c r="K119" s="175">
        <v>424732.18225265999</v>
      </c>
      <c r="L119" s="175">
        <v>424732.18225265999</v>
      </c>
      <c r="M119" s="175">
        <v>424732.18225265999</v>
      </c>
      <c r="N119" s="1"/>
      <c r="O119" s="1"/>
      <c r="P119" s="1"/>
      <c r="Q119" s="1"/>
      <c r="R119" s="1"/>
      <c r="S119" s="1"/>
      <c r="T119" s="1"/>
      <c r="U119" s="1"/>
      <c r="V119" s="1"/>
      <c r="W119" s="1"/>
    </row>
    <row r="120" spans="1:23" x14ac:dyDescent="0.4">
      <c r="A120" s="70">
        <f t="shared" si="3"/>
        <v>48913</v>
      </c>
      <c r="B120" s="1"/>
      <c r="C120" s="1"/>
      <c r="D120" s="175">
        <v>421572.94864397007</v>
      </c>
      <c r="E120" s="175">
        <v>421572.94864397007</v>
      </c>
      <c r="F120" s="175">
        <v>421572.94864397007</v>
      </c>
      <c r="G120" s="175">
        <v>421572.94864397007</v>
      </c>
      <c r="H120" s="175">
        <v>421572.94864397007</v>
      </c>
      <c r="I120" s="175">
        <v>421572.94864397007</v>
      </c>
      <c r="J120" s="175">
        <v>421572.94864397007</v>
      </c>
      <c r="K120" s="175">
        <v>421572.94864397007</v>
      </c>
      <c r="L120" s="175">
        <v>421572.94864397007</v>
      </c>
      <c r="M120" s="175">
        <v>421572.94864397007</v>
      </c>
      <c r="N120" s="1"/>
      <c r="O120" s="1"/>
      <c r="P120" s="1"/>
      <c r="Q120" s="1"/>
      <c r="R120" s="1"/>
      <c r="S120" s="1"/>
      <c r="T120" s="1"/>
      <c r="U120" s="1"/>
      <c r="V120" s="1"/>
      <c r="W120" s="1"/>
    </row>
    <row r="121" spans="1:23" x14ac:dyDescent="0.4">
      <c r="A121" s="70">
        <f t="shared" si="3"/>
        <v>48944</v>
      </c>
      <c r="B121" s="1"/>
      <c r="C121" s="1"/>
      <c r="D121" s="175">
        <v>102297.10325650001</v>
      </c>
      <c r="E121" s="175">
        <v>102297.10325650001</v>
      </c>
      <c r="F121" s="175">
        <v>102297.10325650001</v>
      </c>
      <c r="G121" s="175">
        <v>102297.10325650001</v>
      </c>
      <c r="H121" s="175">
        <v>102297.10325650001</v>
      </c>
      <c r="I121" s="175">
        <v>102297.10325650001</v>
      </c>
      <c r="J121" s="175">
        <v>102297.10325650001</v>
      </c>
      <c r="K121" s="175">
        <v>102297.10325650001</v>
      </c>
      <c r="L121" s="175">
        <v>102297.10325650001</v>
      </c>
      <c r="M121" s="175">
        <v>102297.10325650001</v>
      </c>
      <c r="N121" s="1"/>
      <c r="O121" s="1"/>
      <c r="P121" s="1"/>
      <c r="Q121" s="1"/>
      <c r="R121" s="1"/>
      <c r="S121" s="1"/>
      <c r="T121" s="1"/>
      <c r="U121" s="1"/>
      <c r="V121" s="1"/>
      <c r="W121" s="1"/>
    </row>
    <row r="122" spans="1:23" x14ac:dyDescent="0.4">
      <c r="A122" s="70">
        <f t="shared" si="3"/>
        <v>48975</v>
      </c>
      <c r="B122" s="1"/>
      <c r="C122" s="1"/>
      <c r="D122" s="175">
        <v>100841.62466092</v>
      </c>
      <c r="E122" s="175">
        <v>100841.62466092</v>
      </c>
      <c r="F122" s="175">
        <v>100841.62466092</v>
      </c>
      <c r="G122" s="175">
        <v>100841.62466092</v>
      </c>
      <c r="H122" s="175">
        <v>100841.62466092</v>
      </c>
      <c r="I122" s="175">
        <v>100841.62466092</v>
      </c>
      <c r="J122" s="175">
        <v>100841.62466092</v>
      </c>
      <c r="K122" s="175">
        <v>100841.62466092</v>
      </c>
      <c r="L122" s="175">
        <v>100841.62466092</v>
      </c>
      <c r="M122" s="175">
        <v>100841.62466092</v>
      </c>
      <c r="N122" s="1"/>
      <c r="O122" s="1"/>
      <c r="P122" s="1"/>
      <c r="Q122" s="1"/>
      <c r="R122" s="1"/>
      <c r="S122" s="1"/>
      <c r="T122" s="1"/>
      <c r="U122" s="1"/>
      <c r="V122" s="1"/>
      <c r="W122" s="1"/>
    </row>
    <row r="123" spans="1:23" x14ac:dyDescent="0.4">
      <c r="A123" s="70">
        <f t="shared" si="3"/>
        <v>49003</v>
      </c>
      <c r="B123" s="1"/>
      <c r="C123" s="1"/>
      <c r="D123" s="175">
        <v>100021.30051954</v>
      </c>
      <c r="E123" s="175">
        <v>100021.30051954</v>
      </c>
      <c r="F123" s="175">
        <v>100021.30051954</v>
      </c>
      <c r="G123" s="175">
        <v>100021.30051954</v>
      </c>
      <c r="H123" s="175">
        <v>100021.30051954</v>
      </c>
      <c r="I123" s="175">
        <v>100021.30051954</v>
      </c>
      <c r="J123" s="175">
        <v>100021.30051954</v>
      </c>
      <c r="K123" s="175">
        <v>100021.30051954</v>
      </c>
      <c r="L123" s="175">
        <v>100021.30051954</v>
      </c>
      <c r="M123" s="175">
        <v>100021.30051954</v>
      </c>
      <c r="N123" s="1"/>
      <c r="O123" s="1"/>
      <c r="P123" s="1"/>
      <c r="Q123" s="1"/>
      <c r="R123" s="1"/>
      <c r="S123" s="1"/>
      <c r="T123" s="1"/>
      <c r="U123" s="1"/>
      <c r="V123" s="1"/>
      <c r="W123" s="1"/>
    </row>
    <row r="124" spans="1:23" x14ac:dyDescent="0.4">
      <c r="A124" s="70">
        <f t="shared" si="3"/>
        <v>49034</v>
      </c>
      <c r="B124" s="1"/>
      <c r="C124" s="1"/>
      <c r="D124" s="175">
        <v>87991.521157020004</v>
      </c>
      <c r="E124" s="175">
        <v>87991.521157020004</v>
      </c>
      <c r="F124" s="175">
        <v>87991.521157020004</v>
      </c>
      <c r="G124" s="175">
        <v>87991.521157020004</v>
      </c>
      <c r="H124" s="175">
        <v>87991.521157020004</v>
      </c>
      <c r="I124" s="175">
        <v>87991.521157020004</v>
      </c>
      <c r="J124" s="175">
        <v>87991.521157020004</v>
      </c>
      <c r="K124" s="175">
        <v>87991.521157020004</v>
      </c>
      <c r="L124" s="175">
        <v>87991.521157020004</v>
      </c>
      <c r="M124" s="175">
        <v>87991.521157020004</v>
      </c>
      <c r="N124" s="1"/>
      <c r="O124" s="1"/>
      <c r="P124" s="1"/>
      <c r="Q124" s="1"/>
      <c r="R124" s="1"/>
      <c r="S124" s="1"/>
      <c r="T124" s="1"/>
      <c r="U124" s="1"/>
      <c r="V124" s="1"/>
      <c r="W124" s="1"/>
    </row>
    <row r="125" spans="1:23" x14ac:dyDescent="0.4">
      <c r="A125" s="70">
        <f t="shared" si="3"/>
        <v>49064</v>
      </c>
      <c r="B125" s="1"/>
      <c r="C125" s="1"/>
      <c r="D125" s="175">
        <v>82898.366392259995</v>
      </c>
      <c r="E125" s="175">
        <v>82898.366392259995</v>
      </c>
      <c r="F125" s="175">
        <v>82898.366392259995</v>
      </c>
      <c r="G125" s="175">
        <v>82898.366392259995</v>
      </c>
      <c r="H125" s="175">
        <v>82898.366392259995</v>
      </c>
      <c r="I125" s="175">
        <v>82898.366392259995</v>
      </c>
      <c r="J125" s="175">
        <v>82898.366392259995</v>
      </c>
      <c r="K125" s="175">
        <v>82898.366392259995</v>
      </c>
      <c r="L125" s="175">
        <v>82898.366392259995</v>
      </c>
      <c r="M125" s="175">
        <v>82898.366392259995</v>
      </c>
      <c r="N125" s="1"/>
      <c r="O125" s="1"/>
      <c r="P125" s="1"/>
      <c r="Q125" s="1"/>
      <c r="R125" s="1"/>
      <c r="S125" s="1"/>
      <c r="T125" s="1"/>
      <c r="U125" s="1"/>
      <c r="V125" s="1"/>
      <c r="W125" s="1"/>
    </row>
    <row r="126" spans="1:23" x14ac:dyDescent="0.4">
      <c r="A126" s="70">
        <f t="shared" si="3"/>
        <v>49095</v>
      </c>
      <c r="B126" s="1"/>
      <c r="C126" s="1"/>
      <c r="D126" s="175">
        <v>89740.29426154001</v>
      </c>
      <c r="E126" s="175">
        <v>89740.29426154001</v>
      </c>
      <c r="F126" s="175">
        <v>89740.29426154001</v>
      </c>
      <c r="G126" s="175">
        <v>89740.29426154001</v>
      </c>
      <c r="H126" s="175">
        <v>89740.29426154001</v>
      </c>
      <c r="I126" s="175">
        <v>89740.29426154001</v>
      </c>
      <c r="J126" s="175">
        <v>89740.29426154001</v>
      </c>
      <c r="K126" s="175">
        <v>89740.29426154001</v>
      </c>
      <c r="L126" s="175">
        <v>89740.29426154001</v>
      </c>
      <c r="M126" s="175">
        <v>89740.29426154001</v>
      </c>
      <c r="N126" s="1"/>
      <c r="O126" s="1"/>
      <c r="P126" s="1"/>
      <c r="Q126" s="1"/>
      <c r="R126" s="1"/>
      <c r="S126" s="1"/>
      <c r="T126" s="1"/>
      <c r="U126" s="1"/>
      <c r="V126" s="1"/>
      <c r="W126" s="1"/>
    </row>
    <row r="127" spans="1:23" x14ac:dyDescent="0.4">
      <c r="A127" s="70">
        <f t="shared" si="3"/>
        <v>49125</v>
      </c>
      <c r="B127" s="1"/>
      <c r="C127" s="1"/>
      <c r="D127" s="175">
        <v>89008.272326599996</v>
      </c>
      <c r="E127" s="175">
        <v>89008.272326599996</v>
      </c>
      <c r="F127" s="175">
        <v>89008.272326599996</v>
      </c>
      <c r="G127" s="175">
        <v>89008.272326599996</v>
      </c>
      <c r="H127" s="175">
        <v>89008.272326599996</v>
      </c>
      <c r="I127" s="175">
        <v>89008.272326599996</v>
      </c>
      <c r="J127" s="175">
        <v>89008.272326599996</v>
      </c>
      <c r="K127" s="175">
        <v>89008.272326599996</v>
      </c>
      <c r="L127" s="175">
        <v>89008.272326599996</v>
      </c>
      <c r="M127" s="175">
        <v>89008.272326599996</v>
      </c>
      <c r="N127" s="1"/>
      <c r="O127" s="1"/>
      <c r="P127" s="1"/>
      <c r="Q127" s="1"/>
      <c r="R127" s="1"/>
      <c r="S127" s="1"/>
      <c r="T127" s="1"/>
      <c r="U127" s="1"/>
      <c r="V127" s="1"/>
      <c r="W127" s="1"/>
    </row>
    <row r="128" spans="1:23" x14ac:dyDescent="0.4">
      <c r="A128" s="70">
        <f t="shared" si="3"/>
        <v>49156</v>
      </c>
      <c r="B128" s="1"/>
      <c r="C128" s="1"/>
      <c r="D128" s="175">
        <v>78578.063336979991</v>
      </c>
      <c r="E128" s="175">
        <v>78578.063336979991</v>
      </c>
      <c r="F128" s="175">
        <v>78578.063336979991</v>
      </c>
      <c r="G128" s="175">
        <v>78578.063336979991</v>
      </c>
      <c r="H128" s="175">
        <v>78578.063336979991</v>
      </c>
      <c r="I128" s="175">
        <v>78578.063336979991</v>
      </c>
      <c r="J128" s="175">
        <v>78578.063336979991</v>
      </c>
      <c r="K128" s="175">
        <v>78578.063336979991</v>
      </c>
      <c r="L128" s="175">
        <v>78578.063336979991</v>
      </c>
      <c r="M128" s="175">
        <v>78578.063336979991</v>
      </c>
      <c r="N128" s="1"/>
      <c r="O128" s="1"/>
      <c r="P128" s="1"/>
      <c r="Q128" s="1"/>
      <c r="R128" s="1"/>
      <c r="S128" s="1"/>
      <c r="T128" s="1"/>
      <c r="U128" s="1"/>
      <c r="V128" s="1"/>
      <c r="W128" s="1"/>
    </row>
    <row r="129" spans="1:23" x14ac:dyDescent="0.4">
      <c r="A129" s="70">
        <f t="shared" si="3"/>
        <v>49187</v>
      </c>
      <c r="B129" s="1"/>
      <c r="C129" s="1"/>
      <c r="D129" s="175">
        <v>67090.187333099995</v>
      </c>
      <c r="E129" s="175">
        <v>67090.187333099995</v>
      </c>
      <c r="F129" s="175">
        <v>67090.187333099995</v>
      </c>
      <c r="G129" s="175">
        <v>67090.187333099995</v>
      </c>
      <c r="H129" s="175">
        <v>67090.187333099995</v>
      </c>
      <c r="I129" s="175">
        <v>67090.187333099995</v>
      </c>
      <c r="J129" s="175">
        <v>67090.187333099995</v>
      </c>
      <c r="K129" s="175">
        <v>67090.187333099995</v>
      </c>
      <c r="L129" s="175">
        <v>67090.187333099995</v>
      </c>
      <c r="M129" s="175">
        <v>67090.187333099995</v>
      </c>
      <c r="N129" s="1"/>
      <c r="O129" s="1"/>
      <c r="P129" s="1"/>
      <c r="Q129" s="1"/>
      <c r="R129" s="1"/>
      <c r="S129" s="1"/>
      <c r="T129" s="1"/>
      <c r="U129" s="1"/>
      <c r="V129" s="1"/>
      <c r="W129" s="1"/>
    </row>
    <row r="130" spans="1:23" x14ac:dyDescent="0.4">
      <c r="A130" s="70">
        <f t="shared" si="3"/>
        <v>49217</v>
      </c>
      <c r="B130" s="1"/>
      <c r="C130" s="1"/>
      <c r="D130" s="175">
        <v>59323.372192459989</v>
      </c>
      <c r="E130" s="175">
        <v>59323.372192459989</v>
      </c>
      <c r="F130" s="175">
        <v>59323.372192459989</v>
      </c>
      <c r="G130" s="175">
        <v>59323.372192459989</v>
      </c>
      <c r="H130" s="175">
        <v>59323.372192459989</v>
      </c>
      <c r="I130" s="175">
        <v>59323.372192459989</v>
      </c>
      <c r="J130" s="175">
        <v>59323.372192459989</v>
      </c>
      <c r="K130" s="175">
        <v>59323.372192459989</v>
      </c>
      <c r="L130" s="175">
        <v>59323.372192459989</v>
      </c>
      <c r="M130" s="175">
        <v>59323.372192459989</v>
      </c>
      <c r="N130" s="1"/>
      <c r="O130" s="1"/>
      <c r="P130" s="1"/>
      <c r="Q130" s="1"/>
      <c r="R130" s="1"/>
      <c r="S130" s="1"/>
      <c r="T130" s="1"/>
      <c r="U130" s="1"/>
      <c r="V130" s="1"/>
      <c r="W130" s="1"/>
    </row>
    <row r="131" spans="1:23" x14ac:dyDescent="0.4">
      <c r="A131" s="70">
        <f t="shared" si="3"/>
        <v>49248</v>
      </c>
      <c r="B131" s="1"/>
      <c r="C131" s="1"/>
      <c r="D131" s="175">
        <v>42469.657978740004</v>
      </c>
      <c r="E131" s="175">
        <v>42469.657978740004</v>
      </c>
      <c r="F131" s="175">
        <v>42469.657978740004</v>
      </c>
      <c r="G131" s="175">
        <v>42469.657978740004</v>
      </c>
      <c r="H131" s="175">
        <v>42469.657978740004</v>
      </c>
      <c r="I131" s="175">
        <v>42469.657978740004</v>
      </c>
      <c r="J131" s="175">
        <v>42469.657978740004</v>
      </c>
      <c r="K131" s="175">
        <v>42469.657978740004</v>
      </c>
      <c r="L131" s="175">
        <v>42469.657978740004</v>
      </c>
      <c r="M131" s="175">
        <v>42469.657978740004</v>
      </c>
      <c r="N131" s="1"/>
      <c r="O131" s="1"/>
      <c r="P131" s="1"/>
      <c r="Q131" s="1"/>
      <c r="R131" s="1"/>
      <c r="S131" s="1"/>
      <c r="T131" s="1"/>
      <c r="U131" s="1"/>
      <c r="V131" s="1"/>
      <c r="W131" s="1"/>
    </row>
    <row r="132" spans="1:23" x14ac:dyDescent="0.4">
      <c r="A132" s="70">
        <f t="shared" si="3"/>
        <v>49278</v>
      </c>
      <c r="B132" s="1"/>
      <c r="C132" s="1"/>
      <c r="D132" s="175">
        <v>21673.75489484</v>
      </c>
      <c r="E132" s="175">
        <v>21673.75489484</v>
      </c>
      <c r="F132" s="175">
        <v>21673.75489484</v>
      </c>
      <c r="G132" s="175">
        <v>21673.75489484</v>
      </c>
      <c r="H132" s="175">
        <v>21673.75489484</v>
      </c>
      <c r="I132" s="175">
        <v>21673.75489484</v>
      </c>
      <c r="J132" s="175">
        <v>21673.75489484</v>
      </c>
      <c r="K132" s="175">
        <v>21673.75489484</v>
      </c>
      <c r="L132" s="175">
        <v>21673.75489484</v>
      </c>
      <c r="M132" s="175">
        <v>21673.75489484</v>
      </c>
      <c r="N132" s="1"/>
      <c r="O132" s="1"/>
      <c r="P132" s="1"/>
      <c r="Q132" s="1"/>
      <c r="R132" s="1"/>
      <c r="S132" s="1"/>
      <c r="T132" s="1"/>
      <c r="U132" s="1"/>
      <c r="V132" s="1"/>
      <c r="W132" s="1"/>
    </row>
    <row r="133" spans="1:23" x14ac:dyDescent="0.4">
      <c r="A133" s="70">
        <f t="shared" si="3"/>
        <v>49309</v>
      </c>
      <c r="B133" s="1"/>
      <c r="C133" s="1"/>
      <c r="D133"/>
      <c r="E133"/>
      <c r="F133"/>
      <c r="G133"/>
      <c r="H133"/>
      <c r="I133"/>
      <c r="J133"/>
      <c r="K133"/>
      <c r="L133"/>
      <c r="M133"/>
      <c r="N133" s="1"/>
      <c r="O133" s="1"/>
      <c r="P133" s="1"/>
      <c r="Q133" s="1"/>
      <c r="R133" s="1"/>
      <c r="S133" s="1"/>
      <c r="T133" s="1"/>
      <c r="U133" s="1"/>
      <c r="V133" s="1"/>
      <c r="W133" s="1"/>
    </row>
    <row r="134" spans="1:23" x14ac:dyDescent="0.4">
      <c r="A134" s="70">
        <f t="shared" si="3"/>
        <v>49340</v>
      </c>
      <c r="B134" s="1"/>
      <c r="C134" s="1"/>
      <c r="D134"/>
      <c r="E134"/>
      <c r="F134"/>
      <c r="G134"/>
      <c r="H134"/>
      <c r="I134"/>
      <c r="J134"/>
      <c r="K134"/>
      <c r="L134"/>
      <c r="M134" s="67"/>
      <c r="N134" s="1"/>
      <c r="O134" s="1"/>
      <c r="P134" s="1"/>
      <c r="Q134" s="1"/>
      <c r="R134" s="1"/>
      <c r="S134" s="1"/>
      <c r="T134" s="1"/>
      <c r="U134" s="1"/>
      <c r="V134" s="1"/>
      <c r="W134" s="1"/>
    </row>
    <row r="135" spans="1:23" x14ac:dyDescent="0.4">
      <c r="A135" s="70">
        <f t="shared" si="3"/>
        <v>49368</v>
      </c>
      <c r="B135" s="1"/>
      <c r="C135" s="1"/>
      <c r="D135" s="2"/>
      <c r="E135" s="67"/>
      <c r="F135" s="67"/>
      <c r="G135" s="67"/>
      <c r="H135" s="67"/>
      <c r="I135" s="67"/>
      <c r="J135" s="67"/>
      <c r="K135" s="67"/>
      <c r="L135" s="67"/>
      <c r="M135" s="67"/>
      <c r="N135" s="1"/>
      <c r="O135" s="1"/>
      <c r="P135" s="1"/>
      <c r="Q135" s="1"/>
      <c r="R135" s="1"/>
      <c r="S135" s="1"/>
      <c r="T135" s="1"/>
      <c r="U135" s="1"/>
      <c r="V135" s="1"/>
      <c r="W135" s="1"/>
    </row>
    <row r="136" spans="1:23" x14ac:dyDescent="0.4">
      <c r="A136" s="70">
        <f t="shared" si="3"/>
        <v>49399</v>
      </c>
      <c r="B136" s="1"/>
      <c r="C136" s="1"/>
      <c r="D136" s="2"/>
      <c r="E136" s="67"/>
      <c r="F136" s="67"/>
      <c r="G136" s="67"/>
      <c r="H136" s="67"/>
      <c r="I136" s="67"/>
      <c r="J136" s="67"/>
      <c r="K136" s="67"/>
      <c r="L136" s="67"/>
      <c r="M136" s="67"/>
      <c r="N136" s="1"/>
      <c r="O136" s="1"/>
      <c r="P136" s="1"/>
      <c r="Q136" s="1"/>
      <c r="R136" s="1"/>
      <c r="S136" s="1"/>
      <c r="T136" s="1"/>
      <c r="U136" s="1"/>
      <c r="V136" s="1"/>
      <c r="W136" s="1"/>
    </row>
    <row r="137" spans="1:23" x14ac:dyDescent="0.4">
      <c r="A137" s="70">
        <f t="shared" si="3"/>
        <v>49429</v>
      </c>
      <c r="B137" s="1"/>
      <c r="C137" s="1"/>
      <c r="D137" s="2"/>
      <c r="E137" s="67"/>
      <c r="F137" s="67"/>
      <c r="G137" s="67"/>
      <c r="H137" s="67"/>
      <c r="I137" s="67"/>
      <c r="J137" s="67"/>
      <c r="K137" s="67"/>
      <c r="L137" s="67"/>
      <c r="M137" s="67"/>
      <c r="N137" s="1"/>
      <c r="O137" s="1"/>
      <c r="P137" s="1"/>
      <c r="Q137" s="1"/>
      <c r="R137" s="1"/>
      <c r="S137" s="1"/>
      <c r="T137" s="1"/>
      <c r="U137" s="1"/>
      <c r="V137" s="1"/>
      <c r="W137" s="1"/>
    </row>
    <row r="138" spans="1:23" x14ac:dyDescent="0.4">
      <c r="A138" s="70">
        <f t="shared" ref="A138:A201" si="4">EOMONTH(A137+1,0)</f>
        <v>49460</v>
      </c>
      <c r="B138" s="1"/>
      <c r="C138" s="1"/>
      <c r="D138" s="2"/>
      <c r="E138" s="67"/>
      <c r="F138" s="67"/>
      <c r="G138" s="67"/>
      <c r="H138" s="67"/>
      <c r="I138" s="67"/>
      <c r="J138" s="67"/>
      <c r="K138" s="67"/>
      <c r="L138" s="67"/>
      <c r="M138" s="67"/>
      <c r="N138" s="1"/>
      <c r="O138" s="1"/>
      <c r="P138" s="1"/>
      <c r="Q138" s="1"/>
      <c r="R138" s="1"/>
      <c r="S138" s="1"/>
      <c r="T138" s="1"/>
      <c r="U138" s="1"/>
      <c r="V138" s="1"/>
      <c r="W138" s="1"/>
    </row>
    <row r="139" spans="1:23" x14ac:dyDescent="0.4">
      <c r="A139" s="70">
        <f t="shared" si="4"/>
        <v>49490</v>
      </c>
      <c r="B139" s="1"/>
      <c r="C139" s="1"/>
      <c r="D139" s="2"/>
      <c r="E139" s="67"/>
      <c r="F139" s="67"/>
      <c r="G139" s="67"/>
      <c r="H139" s="67"/>
      <c r="I139" s="67"/>
      <c r="J139" s="67"/>
      <c r="K139" s="67"/>
      <c r="L139" s="67"/>
      <c r="M139" s="67"/>
      <c r="N139" s="1"/>
      <c r="O139" s="1"/>
      <c r="P139" s="1"/>
      <c r="Q139" s="1"/>
      <c r="R139" s="1"/>
      <c r="S139" s="1"/>
      <c r="T139" s="1"/>
      <c r="U139" s="1"/>
      <c r="V139" s="1"/>
      <c r="W139" s="1"/>
    </row>
    <row r="140" spans="1:23" x14ac:dyDescent="0.4">
      <c r="A140" s="70">
        <f t="shared" si="4"/>
        <v>49521</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49552</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49582</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49613</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49643</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49674</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49705</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49734</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49765</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49795</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49826</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49856</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49887</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49918</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49948</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49979</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50009</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50040</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50071</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50099</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50130</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50160</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50191</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50221</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50252</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50283</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50313</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50344</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50374</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50405</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50436</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50464</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50495</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50525</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50556</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50586</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50617</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50648</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50678</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50709</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50739</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50770</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50801</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50829</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50860</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50890</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50921</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50951</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50982</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51013</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51043</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51074</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51104</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51135</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51166</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51195</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51226</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51256</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51287</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51317</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51348</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51379</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51409</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51440</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51470</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3.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2024-09-19T18:54:24Z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